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 PUBLIKASI JURNAL\Penelitian\Makara to Karbala\"/>
    </mc:Choice>
  </mc:AlternateContent>
  <bookViews>
    <workbookView xWindow="480" yWindow="345" windowWidth="19815" windowHeight="7665" activeTab="3"/>
  </bookViews>
  <sheets>
    <sheet name="Std Curve" sheetId="1" r:id="rId1"/>
    <sheet name="pH" sheetId="2" r:id="rId2"/>
    <sheet name="time" sheetId="3" r:id="rId3"/>
    <sheet name="Concentration" sheetId="4" r:id="rId4"/>
    <sheet name="pHpzc" sheetId="5" r:id="rId5"/>
  </sheets>
  <calcPr calcId="152511"/>
</workbook>
</file>

<file path=xl/calcChain.xml><?xml version="1.0" encoding="utf-8"?>
<calcChain xmlns="http://schemas.openxmlformats.org/spreadsheetml/2006/main">
  <c r="AN40" i="4" l="1"/>
  <c r="AN33" i="4"/>
  <c r="AN34" i="4"/>
  <c r="AN35" i="4"/>
  <c r="AN36" i="4"/>
  <c r="AN37" i="4"/>
  <c r="AN38" i="4"/>
  <c r="AN39" i="4"/>
  <c r="AN32" i="4"/>
  <c r="AM33" i="4"/>
  <c r="AM34" i="4"/>
  <c r="AM35" i="4"/>
  <c r="AM36" i="4"/>
  <c r="AM37" i="4"/>
  <c r="AM38" i="4"/>
  <c r="AM39" i="4"/>
  <c r="AM40" i="4"/>
  <c r="AM32" i="4"/>
  <c r="D33" i="4" l="1"/>
  <c r="D34" i="4"/>
  <c r="D35" i="4"/>
  <c r="D36" i="4"/>
  <c r="D37" i="4"/>
  <c r="D38" i="4"/>
  <c r="D39" i="4"/>
  <c r="D40" i="4"/>
  <c r="D32" i="4"/>
  <c r="F5" i="4"/>
  <c r="F6" i="4"/>
  <c r="F7" i="4"/>
  <c r="F8" i="4"/>
  <c r="F9" i="4"/>
  <c r="F10" i="4"/>
  <c r="F11" i="4"/>
  <c r="F12" i="4"/>
  <c r="F4" i="4"/>
  <c r="E4" i="3"/>
  <c r="E5" i="3"/>
  <c r="E6" i="3"/>
  <c r="E7" i="3"/>
  <c r="E8" i="3"/>
  <c r="E9" i="3"/>
  <c r="E10" i="3"/>
  <c r="E3" i="3"/>
  <c r="D4" i="3"/>
  <c r="D5" i="3"/>
  <c r="D6" i="3"/>
  <c r="D7" i="3"/>
  <c r="D8" i="3"/>
  <c r="D9" i="3"/>
  <c r="D10" i="3"/>
  <c r="D3" i="3"/>
  <c r="F6" i="2"/>
  <c r="F7" i="2"/>
  <c r="F8" i="2"/>
  <c r="F9" i="2"/>
  <c r="F10" i="2"/>
  <c r="F11" i="2"/>
  <c r="F5" i="2"/>
  <c r="D6" i="2"/>
  <c r="D7" i="2"/>
  <c r="D8" i="2"/>
  <c r="D9" i="2"/>
  <c r="D10" i="2"/>
  <c r="D11" i="2"/>
  <c r="D5" i="2"/>
  <c r="I4" i="3"/>
  <c r="I5" i="3"/>
  <c r="I6" i="3"/>
  <c r="I7" i="3"/>
  <c r="I8" i="3"/>
  <c r="I9" i="3"/>
  <c r="I10" i="3"/>
  <c r="I3" i="3"/>
  <c r="AA42" i="3"/>
  <c r="Z39" i="3"/>
  <c r="AC38" i="3"/>
  <c r="Y38" i="3"/>
  <c r="AA36" i="3"/>
  <c r="AA34" i="3" l="1"/>
  <c r="F33" i="4"/>
  <c r="F34" i="4"/>
  <c r="F35" i="4"/>
  <c r="F36" i="4"/>
  <c r="F37" i="4"/>
  <c r="F38" i="4"/>
  <c r="F39" i="4"/>
  <c r="F40" i="4"/>
  <c r="F32" i="4"/>
  <c r="AO66" i="4"/>
  <c r="AI68" i="4"/>
  <c r="Z72" i="4"/>
  <c r="Z68" i="4"/>
  <c r="S68" i="4"/>
  <c r="K69" i="4"/>
  <c r="C69" i="4"/>
  <c r="C70" i="4" s="1"/>
  <c r="C71" i="4" s="1"/>
  <c r="C73" i="4" s="1"/>
  <c r="C74" i="4" s="1"/>
  <c r="E67" i="4"/>
  <c r="AH33" i="4"/>
  <c r="AH34" i="4"/>
  <c r="AH35" i="4"/>
  <c r="AH36" i="4"/>
  <c r="AH37" i="4"/>
  <c r="AH38" i="4"/>
  <c r="AH39" i="4"/>
  <c r="AH40" i="4"/>
  <c r="AH32" i="4"/>
  <c r="AD33" i="4"/>
  <c r="AD34" i="4"/>
  <c r="AD35" i="4"/>
  <c r="AD36" i="4"/>
  <c r="AD37" i="4"/>
  <c r="AD38" i="4"/>
  <c r="AD39" i="4"/>
  <c r="AD40" i="4"/>
  <c r="AD32" i="4"/>
  <c r="AB33" i="4"/>
  <c r="AC33" i="4" s="1"/>
  <c r="AB34" i="4"/>
  <c r="AC34" i="4" s="1"/>
  <c r="AB35" i="4"/>
  <c r="AC35" i="4" s="1"/>
  <c r="AB36" i="4"/>
  <c r="AC36" i="4" s="1"/>
  <c r="AB37" i="4"/>
  <c r="AC37" i="4" s="1"/>
  <c r="AB38" i="4"/>
  <c r="AC38" i="4" s="1"/>
  <c r="AB39" i="4"/>
  <c r="AC39" i="4" s="1"/>
  <c r="AB40" i="4"/>
  <c r="AC40" i="4" s="1"/>
  <c r="AB32" i="4"/>
  <c r="AC32" i="4" s="1"/>
  <c r="W33" i="4"/>
  <c r="W34" i="4"/>
  <c r="W35" i="4"/>
  <c r="W36" i="4"/>
  <c r="W37" i="4"/>
  <c r="W38" i="4"/>
  <c r="W39" i="4"/>
  <c r="W40" i="4"/>
  <c r="W32" i="4"/>
  <c r="P33" i="4"/>
  <c r="P34" i="4"/>
  <c r="P35" i="4"/>
  <c r="P36" i="4"/>
  <c r="P37" i="4"/>
  <c r="P38" i="4"/>
  <c r="P39" i="4"/>
  <c r="P40" i="4"/>
  <c r="P32" i="4"/>
  <c r="U33" i="4"/>
  <c r="U34" i="4"/>
  <c r="U35" i="4"/>
  <c r="U36" i="4"/>
  <c r="U37" i="4"/>
  <c r="U38" i="4"/>
  <c r="U39" i="4"/>
  <c r="U40" i="4"/>
  <c r="U32" i="4"/>
  <c r="S33" i="4"/>
  <c r="V33" i="4" s="1"/>
  <c r="S34" i="4"/>
  <c r="V34" i="4" s="1"/>
  <c r="S35" i="4"/>
  <c r="V35" i="4" s="1"/>
  <c r="S36" i="4"/>
  <c r="V36" i="4" s="1"/>
  <c r="S37" i="4"/>
  <c r="V37" i="4" s="1"/>
  <c r="S38" i="4"/>
  <c r="V38" i="4" s="1"/>
  <c r="S39" i="4"/>
  <c r="V39" i="4" s="1"/>
  <c r="S40" i="4"/>
  <c r="V40" i="4" s="1"/>
  <c r="S32" i="4"/>
  <c r="V32" i="4" s="1"/>
  <c r="K33" i="4"/>
  <c r="K34" i="4"/>
  <c r="K35" i="4"/>
  <c r="K36" i="4"/>
  <c r="K37" i="4"/>
  <c r="K38" i="4"/>
  <c r="K39" i="4"/>
  <c r="K40" i="4"/>
  <c r="K32" i="4"/>
  <c r="L32" i="4"/>
  <c r="L33" i="4"/>
  <c r="L34" i="4"/>
  <c r="L35" i="4"/>
  <c r="L36" i="4"/>
  <c r="L37" i="4"/>
  <c r="L38" i="4"/>
  <c r="L39" i="4"/>
  <c r="L40" i="4"/>
  <c r="E33" i="4"/>
  <c r="E34" i="4"/>
  <c r="E35" i="4"/>
  <c r="E36" i="4"/>
  <c r="E37" i="4"/>
  <c r="E38" i="4"/>
  <c r="E39" i="4"/>
  <c r="E40" i="4"/>
  <c r="E32" i="4"/>
  <c r="S42" i="3" l="1"/>
  <c r="S40" i="3"/>
  <c r="U37" i="3"/>
  <c r="S35" i="3"/>
  <c r="K36" i="3"/>
  <c r="O4" i="3" l="1"/>
  <c r="O5" i="3"/>
  <c r="O6" i="3"/>
  <c r="O7" i="3"/>
  <c r="O8" i="3"/>
  <c r="O9" i="3"/>
  <c r="O10" i="3"/>
  <c r="O3" i="3"/>
  <c r="D10" i="5" l="1"/>
  <c r="D9" i="5"/>
  <c r="D8" i="5"/>
  <c r="D7" i="5"/>
  <c r="D6" i="5"/>
  <c r="D5" i="5"/>
  <c r="D4" i="5"/>
  <c r="D3" i="5"/>
  <c r="N4" i="3" l="1"/>
  <c r="N5" i="3"/>
  <c r="N6" i="3"/>
  <c r="N7" i="3"/>
  <c r="N8" i="3"/>
  <c r="N9" i="3"/>
  <c r="N10" i="3"/>
  <c r="N3" i="3"/>
  <c r="G8" i="4"/>
  <c r="H8" i="4" s="1"/>
  <c r="J8" i="4" l="1"/>
  <c r="O8" i="4"/>
  <c r="L8" i="4"/>
  <c r="I8" i="4"/>
  <c r="M8" i="4" s="1"/>
  <c r="K8" i="4" l="1"/>
  <c r="G5" i="4"/>
  <c r="H5" i="4" s="1"/>
  <c r="G6" i="4"/>
  <c r="H6" i="4" s="1"/>
  <c r="G7" i="4"/>
  <c r="H7" i="4" s="1"/>
  <c r="G9" i="4"/>
  <c r="H9" i="4" s="1"/>
  <c r="G10" i="4"/>
  <c r="H10" i="4" s="1"/>
  <c r="G11" i="4"/>
  <c r="H11" i="4" s="1"/>
  <c r="G12" i="4"/>
  <c r="H12" i="4" s="1"/>
  <c r="G4" i="4"/>
  <c r="H4" i="4" s="1"/>
  <c r="O7" i="4" l="1"/>
  <c r="J7" i="4"/>
  <c r="I6" i="4"/>
  <c r="M6" i="4" s="1"/>
  <c r="O6" i="4"/>
  <c r="J6" i="4"/>
  <c r="O12" i="4"/>
  <c r="J12" i="4"/>
  <c r="J11" i="4"/>
  <c r="O11" i="4"/>
  <c r="L11" i="4"/>
  <c r="O10" i="4"/>
  <c r="J10" i="4"/>
  <c r="O9" i="4"/>
  <c r="J9" i="4"/>
  <c r="O5" i="4"/>
  <c r="J5" i="4"/>
  <c r="L4" i="4"/>
  <c r="O4" i="4"/>
  <c r="K4" i="4"/>
  <c r="J4" i="4"/>
  <c r="I12" i="4"/>
  <c r="M12" i="4" s="1"/>
  <c r="I11" i="4"/>
  <c r="M11" i="4" s="1"/>
  <c r="I10" i="4"/>
  <c r="M10" i="4" s="1"/>
  <c r="I9" i="4"/>
  <c r="M9" i="4" s="1"/>
  <c r="I7" i="4"/>
  <c r="M7" i="4" s="1"/>
  <c r="I5" i="4"/>
  <c r="M5" i="4" s="1"/>
  <c r="I4" i="4"/>
  <c r="M4" i="4" s="1"/>
  <c r="L7" i="4" l="1"/>
  <c r="K7" i="4"/>
  <c r="L6" i="4"/>
  <c r="K6" i="4"/>
  <c r="L12" i="4"/>
  <c r="K12" i="4"/>
  <c r="L10" i="4"/>
  <c r="K10" i="4"/>
  <c r="L9" i="4"/>
  <c r="K9" i="4"/>
  <c r="L5" i="4"/>
  <c r="K5" i="4"/>
  <c r="K11" i="4"/>
  <c r="G7" i="2"/>
  <c r="H6" i="2"/>
  <c r="J6" i="2" s="1"/>
  <c r="H7" i="2"/>
  <c r="J7" i="2" s="1"/>
  <c r="H8" i="2"/>
  <c r="J8" i="2" s="1"/>
  <c r="H9" i="2"/>
  <c r="J9" i="2" s="1"/>
  <c r="H10" i="2"/>
  <c r="J10" i="2" s="1"/>
  <c r="G11" i="2"/>
  <c r="I11" i="2" s="1"/>
  <c r="H5" i="2"/>
  <c r="J5" i="2" s="1"/>
  <c r="K7" i="2" l="1"/>
  <c r="I7" i="2"/>
  <c r="L8" i="2"/>
  <c r="G8" i="2"/>
  <c r="I8" i="2" s="1"/>
  <c r="L10" i="2"/>
  <c r="G10" i="2"/>
  <c r="I10" i="2" s="1"/>
  <c r="F7" i="3"/>
  <c r="F3" i="3"/>
  <c r="F4" i="3"/>
  <c r="F10" i="3"/>
  <c r="F9" i="3"/>
  <c r="F6" i="3"/>
  <c r="F5" i="3"/>
  <c r="F8" i="3"/>
  <c r="K11" i="2"/>
  <c r="H11" i="2"/>
  <c r="J11" i="2" s="1"/>
  <c r="L5" i="2"/>
  <c r="G5" i="2"/>
  <c r="I5" i="2" s="1"/>
  <c r="L6" i="2"/>
  <c r="G6" i="2"/>
  <c r="I6" i="2" s="1"/>
  <c r="L7" i="2"/>
  <c r="L9" i="2"/>
  <c r="G9" i="2"/>
  <c r="I9" i="2" s="1"/>
  <c r="G10" i="3" l="1"/>
  <c r="J10" i="3"/>
  <c r="H10" i="3"/>
  <c r="K10" i="3"/>
  <c r="G9" i="3"/>
  <c r="K9" i="3"/>
  <c r="J9" i="3"/>
  <c r="H9" i="3"/>
  <c r="G8" i="3"/>
  <c r="J8" i="3"/>
  <c r="H8" i="3"/>
  <c r="K8" i="3"/>
  <c r="G7" i="3"/>
  <c r="K7" i="3"/>
  <c r="J7" i="3"/>
  <c r="H7" i="3"/>
  <c r="G6" i="3"/>
  <c r="J6" i="3"/>
  <c r="H6" i="3"/>
  <c r="K6" i="3"/>
  <c r="G5" i="3"/>
  <c r="H5" i="3"/>
  <c r="K5" i="3"/>
  <c r="J5" i="3"/>
  <c r="G4" i="3"/>
  <c r="J4" i="3"/>
  <c r="H4" i="3"/>
  <c r="K4" i="3"/>
  <c r="G3" i="3"/>
  <c r="H3" i="3"/>
  <c r="K3" i="3"/>
  <c r="J3" i="3"/>
  <c r="K8" i="2"/>
  <c r="K10" i="2"/>
  <c r="L11" i="2"/>
  <c r="K5" i="2"/>
  <c r="K6" i="2"/>
  <c r="K9" i="2"/>
  <c r="M10" i="3" l="1"/>
  <c r="L10" i="3"/>
  <c r="M9" i="3"/>
  <c r="L9" i="3"/>
  <c r="M8" i="3"/>
  <c r="L8" i="3"/>
  <c r="M7" i="3"/>
  <c r="L7" i="3"/>
  <c r="M6" i="3"/>
  <c r="L6" i="3"/>
  <c r="L5" i="3"/>
  <c r="M5" i="3"/>
  <c r="M4" i="3"/>
  <c r="L4" i="3"/>
  <c r="L3" i="3"/>
  <c r="M3" i="3"/>
</calcChain>
</file>

<file path=xl/sharedStrings.xml><?xml version="1.0" encoding="utf-8"?>
<sst xmlns="http://schemas.openxmlformats.org/spreadsheetml/2006/main" count="256" uniqueCount="160">
  <si>
    <t>C</t>
  </si>
  <si>
    <t>A</t>
  </si>
  <si>
    <t>pH</t>
  </si>
  <si>
    <t>Abs Sampel</t>
  </si>
  <si>
    <t>C sampel</t>
  </si>
  <si>
    <t>y = 0,211x + 0,007</t>
  </si>
  <si>
    <t>A standar</t>
  </si>
  <si>
    <t>Ca</t>
  </si>
  <si>
    <t>Cads</t>
  </si>
  <si>
    <t>C ads 1</t>
  </si>
  <si>
    <t>Cads 2</t>
  </si>
  <si>
    <t>Qe 1 (mg/g)</t>
  </si>
  <si>
    <t>Qe 2 (mg/g)</t>
  </si>
  <si>
    <t>%Ads 1</t>
  </si>
  <si>
    <t>%ads 2</t>
  </si>
  <si>
    <t>t</t>
  </si>
  <si>
    <t>Abs sam</t>
  </si>
  <si>
    <t>Abs stand</t>
  </si>
  <si>
    <t>Cstand</t>
  </si>
  <si>
    <t>Csam</t>
  </si>
  <si>
    <t>Qt</t>
  </si>
  <si>
    <t>At</t>
  </si>
  <si>
    <t>Ct</t>
  </si>
  <si>
    <t>Qe (mg/g)</t>
  </si>
  <si>
    <t>% ads</t>
  </si>
  <si>
    <t>1/Ce</t>
  </si>
  <si>
    <t>1/Qe</t>
  </si>
  <si>
    <t>Log Ce</t>
  </si>
  <si>
    <t>Log Qe</t>
  </si>
  <si>
    <t>% (ads)</t>
  </si>
  <si>
    <r>
      <t>A</t>
    </r>
    <r>
      <rPr>
        <b/>
        <sz val="8"/>
        <color theme="1"/>
        <rFont val="Calibri"/>
        <family val="2"/>
        <scheme val="minor"/>
      </rPr>
      <t>0</t>
    </r>
  </si>
  <si>
    <r>
      <t>C</t>
    </r>
    <r>
      <rPr>
        <b/>
        <sz val="8"/>
        <color theme="1"/>
        <rFont val="Calibri"/>
        <family val="2"/>
        <scheme val="minor"/>
      </rPr>
      <t>0</t>
    </r>
  </si>
  <si>
    <t>In C</t>
  </si>
  <si>
    <t>1/C</t>
  </si>
  <si>
    <t>ln qe-qt</t>
  </si>
  <si>
    <t>t/qt</t>
  </si>
  <si>
    <t>ln t</t>
  </si>
  <si>
    <t>Flask</t>
  </si>
  <si>
    <t>pH i</t>
  </si>
  <si>
    <t>pH f</t>
  </si>
  <si>
    <t>ΔpH</t>
  </si>
  <si>
    <t>√t</t>
  </si>
  <si>
    <t>K</t>
  </si>
  <si>
    <t>=</t>
  </si>
  <si>
    <t xml:space="preserve">ln qe </t>
  </si>
  <si>
    <t>qe</t>
  </si>
  <si>
    <t>exp (2,919)</t>
  </si>
  <si>
    <t>R</t>
  </si>
  <si>
    <t>1/qe</t>
  </si>
  <si>
    <t>y = 0,489x - 0,003</t>
  </si>
  <si>
    <t>1/0,489</t>
  </si>
  <si>
    <t>1/(K2qe^2)</t>
  </si>
  <si>
    <t>1/k. 2,04499^2</t>
  </si>
  <si>
    <t>1/k . 4,181984</t>
  </si>
  <si>
    <t>k.4,181984</t>
  </si>
  <si>
    <t>1/0,003</t>
  </si>
  <si>
    <t xml:space="preserve">k </t>
  </si>
  <si>
    <t>k</t>
  </si>
  <si>
    <t>333,333/4,181984</t>
  </si>
  <si>
    <t>1/B</t>
  </si>
  <si>
    <t>B</t>
  </si>
  <si>
    <t xml:space="preserve">ln ab </t>
  </si>
  <si>
    <t xml:space="preserve"> ln a + ln b</t>
  </si>
  <si>
    <t xml:space="preserve">ln a </t>
  </si>
  <si>
    <t>ln a</t>
  </si>
  <si>
    <t xml:space="preserve">a </t>
  </si>
  <si>
    <t>y = 896,6x-1826</t>
  </si>
  <si>
    <t>Kp</t>
  </si>
  <si>
    <t>Langmuir</t>
  </si>
  <si>
    <t>1/ce vs 1/qe</t>
  </si>
  <si>
    <t>Freundlich</t>
  </si>
  <si>
    <t>log ce vs log qe</t>
  </si>
  <si>
    <t>Temkin</t>
  </si>
  <si>
    <t>qe vs ln ce</t>
  </si>
  <si>
    <t>Harkin-Jura</t>
  </si>
  <si>
    <t xml:space="preserve">1/qe^2 vs log ce </t>
  </si>
  <si>
    <t>Redelich-Peterson</t>
  </si>
  <si>
    <t>ln ce/qe vs ln ce</t>
  </si>
  <si>
    <t>Jovacovic</t>
  </si>
  <si>
    <t>ln qe vs ce</t>
  </si>
  <si>
    <t>Ce</t>
  </si>
  <si>
    <t>log Ce</t>
  </si>
  <si>
    <t>Log qe</t>
  </si>
  <si>
    <t>ln Ce</t>
  </si>
  <si>
    <t>qe^2</t>
  </si>
  <si>
    <t>ce</t>
  </si>
  <si>
    <t>log ce</t>
  </si>
  <si>
    <t>1/qe^2</t>
  </si>
  <si>
    <t>ln ce</t>
  </si>
  <si>
    <t>ln ce/qe</t>
  </si>
  <si>
    <t>ln qe</t>
  </si>
  <si>
    <t xml:space="preserve">1/qe </t>
  </si>
  <si>
    <t>1/qm.Kl</t>
  </si>
  <si>
    <t>1/ce</t>
  </si>
  <si>
    <t>+</t>
  </si>
  <si>
    <t>1/qm</t>
  </si>
  <si>
    <t>Y</t>
  </si>
  <si>
    <t>5x</t>
  </si>
  <si>
    <t>R^2</t>
  </si>
  <si>
    <t>intersep</t>
  </si>
  <si>
    <t xml:space="preserve">slope </t>
  </si>
  <si>
    <t>qm</t>
  </si>
  <si>
    <t>0.2mg/g</t>
  </si>
  <si>
    <t>MR Blue Methylene</t>
  </si>
  <si>
    <t>319.85 g/mol</t>
  </si>
  <si>
    <t>0,000625 mmol</t>
  </si>
  <si>
    <t>6,25351760365205E-07 mol/gram</t>
  </si>
  <si>
    <t>Kl</t>
  </si>
  <si>
    <t>1599100L/mol</t>
  </si>
  <si>
    <t>E = RT in K</t>
  </si>
  <si>
    <t xml:space="preserve">E </t>
  </si>
  <si>
    <t>E</t>
  </si>
  <si>
    <t>35,39KJ/mol</t>
  </si>
  <si>
    <t xml:space="preserve">R^2 </t>
  </si>
  <si>
    <t>1/n</t>
  </si>
  <si>
    <t>n</t>
  </si>
  <si>
    <t>Kf</t>
  </si>
  <si>
    <t>y = x + 0,301</t>
  </si>
  <si>
    <t>Exp(0,301)</t>
  </si>
  <si>
    <t>Kf = 1,351209</t>
  </si>
  <si>
    <t>B = slope</t>
  </si>
  <si>
    <t>A = exp(intercept/B)</t>
  </si>
  <si>
    <t>B = 0,015</t>
  </si>
  <si>
    <t>y = 0,015x +2,098</t>
  </si>
  <si>
    <t>R = 0,868</t>
  </si>
  <si>
    <t>A = exp(2,098/0,015)</t>
  </si>
  <si>
    <t>1/A = slope</t>
  </si>
  <si>
    <t>B =</t>
  </si>
  <si>
    <t>1/A = 105,9</t>
  </si>
  <si>
    <t>A = 1/105,9</t>
  </si>
  <si>
    <t>A  = 0,009443</t>
  </si>
  <si>
    <t>B/A = 1,652</t>
  </si>
  <si>
    <t>B = A * 1,652</t>
  </si>
  <si>
    <t>B = 0,009443/1,652</t>
  </si>
  <si>
    <t>ln Kr = intercept</t>
  </si>
  <si>
    <t>y = -105,9x + 1.652</t>
  </si>
  <si>
    <t>R = 0,701</t>
  </si>
  <si>
    <t>ln Kr = 4,757</t>
  </si>
  <si>
    <t>Kr = exp(4,757)</t>
  </si>
  <si>
    <t>Kr = 116,3962</t>
  </si>
  <si>
    <t>ß = -20,66</t>
  </si>
  <si>
    <t>y = -20,66x + 4,757</t>
  </si>
  <si>
    <t>R = 0,972</t>
  </si>
  <si>
    <t xml:space="preserve">q max = </t>
  </si>
  <si>
    <t>Kj = 55,05</t>
  </si>
  <si>
    <t>ln qmax = 104,4</t>
  </si>
  <si>
    <t>y = 55,05x - 104,4</t>
  </si>
  <si>
    <t>Ce/qe</t>
  </si>
  <si>
    <t xml:space="preserve">y = -0,000004x + 2,919 </t>
  </si>
  <si>
    <t>0.700</t>
  </si>
  <si>
    <t>0.000004</t>
  </si>
  <si>
    <t>y = -308x - 634.3</t>
  </si>
  <si>
    <t>634,3/308</t>
  </si>
  <si>
    <t>ln a + (ln 0,003247)</t>
  </si>
  <si>
    <t>exp 7,789436</t>
  </si>
  <si>
    <t>Halsey</t>
  </si>
  <si>
    <t>ln Qe</t>
  </si>
  <si>
    <t>y = x - 1,609</t>
  </si>
  <si>
    <t xml:space="preserve">R </t>
  </si>
  <si>
    <t xml:space="preserve">KH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</si>
</sst>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6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2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Fill="1" applyBorder="1"/>
    <xf numFmtId="0" fontId="7" fillId="0" borderId="0" xfId="0" applyFont="1" applyAlignment="1">
      <alignment vertical="top" wrapText="1"/>
    </xf>
    <xf numFmtId="0" fontId="1" fillId="0" borderId="0" xfId="0" applyFont="1" applyBorder="1"/>
    <xf numFmtId="0" fontId="5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D23F3"/>
      <color rgb="FFFF0066"/>
      <color rgb="FF2403ED"/>
      <color rgb="FFFFFF66"/>
      <color rgb="FFBAC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circle"/>
            <c:size val="8"/>
            <c:spPr>
              <a:solidFill>
                <a:srgbClr val="FFFF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3664028871391094"/>
                  <c:y val="0.1254629629629633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trendline>
            <c:trendlineType val="linear"/>
            <c:dispRSqr val="0"/>
            <c:dispEq val="0"/>
          </c:trendline>
          <c:xVal>
            <c:numRef>
              <c:f>'Std Curve'!$A$2:$A$6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xVal>
          <c:yVal>
            <c:numRef>
              <c:f>'Std Curve'!$B$2:$B$6</c:f>
              <c:numCache>
                <c:formatCode>General</c:formatCode>
                <c:ptCount val="5"/>
                <c:pt idx="0">
                  <c:v>0.40400000000000003</c:v>
                </c:pt>
                <c:pt idx="1">
                  <c:v>0.93200000000000005</c:v>
                </c:pt>
                <c:pt idx="2">
                  <c:v>1.3360000000000001</c:v>
                </c:pt>
                <c:pt idx="3">
                  <c:v>1.7789999999999999</c:v>
                </c:pt>
                <c:pt idx="4">
                  <c:v>2.1800000000000002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26055296"/>
        <c:axId val="-926052032"/>
      </c:scatterChart>
      <c:valAx>
        <c:axId val="-926055296"/>
        <c:scaling>
          <c:orientation val="minMax"/>
          <c:max val="10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Concentration (ppm)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FF0000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926052032"/>
        <c:crosses val="autoZero"/>
        <c:crossBetween val="midCat"/>
        <c:majorUnit val="2"/>
        <c:minorUnit val="2"/>
      </c:valAx>
      <c:valAx>
        <c:axId val="-926052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Absorbance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rgbClr val="FF0000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926055296"/>
        <c:crosses val="autoZero"/>
        <c:crossBetween val="midCat"/>
      </c:valAx>
      <c:spPr>
        <a:ln w="25400">
          <a:solidFill>
            <a:srgbClr val="FF0000"/>
          </a:solidFill>
        </a:ln>
      </c:spPr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Concentration!$K$32:$K$40</c:f>
              <c:numCache>
                <c:formatCode>General</c:formatCode>
                <c:ptCount val="9"/>
                <c:pt idx="0">
                  <c:v>0.69659464117520575</c:v>
                </c:pt>
                <c:pt idx="1">
                  <c:v>0.99821969673849908</c:v>
                </c:pt>
                <c:pt idx="2">
                  <c:v>1.3000418394199151</c:v>
                </c:pt>
                <c:pt idx="3">
                  <c:v>1.4763968267253302</c:v>
                </c:pt>
                <c:pt idx="4">
                  <c:v>1.6527296960692477</c:v>
                </c:pt>
                <c:pt idx="5">
                  <c:v>1.6977443556606406</c:v>
                </c:pt>
                <c:pt idx="6">
                  <c:v>1.7769322004742201</c:v>
                </c:pt>
                <c:pt idx="7">
                  <c:v>1.8440533497318523</c:v>
                </c:pt>
                <c:pt idx="8">
                  <c:v>1.9530124615309414</c:v>
                </c:pt>
              </c:numCache>
            </c:numRef>
          </c:xVal>
          <c:yVal>
            <c:numRef>
              <c:f>Concentration!$L$32:$L$40</c:f>
              <c:numCache>
                <c:formatCode>General</c:formatCode>
                <c:ptCount val="9"/>
                <c:pt idx="0">
                  <c:v>-2.3753631608130388E-3</c:v>
                </c:pt>
                <c:pt idx="1">
                  <c:v>0.29924969240248023</c:v>
                </c:pt>
                <c:pt idx="2">
                  <c:v>0.60107183508389628</c:v>
                </c:pt>
                <c:pt idx="3">
                  <c:v>0.77742682238931138</c:v>
                </c:pt>
                <c:pt idx="4">
                  <c:v>0.95375969173322883</c:v>
                </c:pt>
                <c:pt idx="5">
                  <c:v>0.99877435132462189</c:v>
                </c:pt>
                <c:pt idx="6">
                  <c:v>1.0779621961382011</c:v>
                </c:pt>
                <c:pt idx="7">
                  <c:v>1.1450833453958336</c:v>
                </c:pt>
                <c:pt idx="8">
                  <c:v>1.2540424571949227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7515184"/>
        <c:axId val="-1147524976"/>
      </c:scatterChart>
      <c:valAx>
        <c:axId val="-114751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47524976"/>
        <c:crosses val="autoZero"/>
        <c:crossBetween val="midCat"/>
      </c:valAx>
      <c:valAx>
        <c:axId val="-114752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475151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solidFill>
                  <a:srgbClr val="FF0000"/>
                </a:solidFill>
                <a:latin typeface="Times New Roman" pitchFamily="18" charset="0"/>
                <a:cs typeface="Times New Roman" pitchFamily="18" charset="0"/>
              </a:rPr>
              <a:t>B</a:t>
            </a:r>
          </a:p>
        </c:rich>
      </c:tx>
      <c:layout>
        <c:manualLayout>
          <c:xMode val="edge"/>
          <c:yMode val="edge"/>
          <c:x val="0.22209711286089248"/>
          <c:y val="7.4074074074074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558333333333346"/>
          <c:y val="0.12777777777777777"/>
          <c:w val="0.81663888888888925"/>
          <c:h val="0.60458333333333369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0D23F3"/>
              </a:solidFill>
            </a:ln>
          </c:spPr>
          <c:marker>
            <c:symbol val="circle"/>
            <c:size val="7"/>
            <c:spPr>
              <a:solidFill>
                <a:srgbClr val="FF0066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31314391951006132"/>
                  <c:y val="8.0555555555555672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Concentration!$K$32:$K$40</c:f>
              <c:numCache>
                <c:formatCode>General</c:formatCode>
                <c:ptCount val="9"/>
                <c:pt idx="0">
                  <c:v>0.69659464117520575</c:v>
                </c:pt>
                <c:pt idx="1">
                  <c:v>0.99821969673849908</c:v>
                </c:pt>
                <c:pt idx="2">
                  <c:v>1.3000418394199151</c:v>
                </c:pt>
                <c:pt idx="3">
                  <c:v>1.4763968267253302</c:v>
                </c:pt>
                <c:pt idx="4">
                  <c:v>1.6527296960692477</c:v>
                </c:pt>
                <c:pt idx="5">
                  <c:v>1.6977443556606406</c:v>
                </c:pt>
                <c:pt idx="6">
                  <c:v>1.7769322004742201</c:v>
                </c:pt>
                <c:pt idx="7">
                  <c:v>1.8440533497318523</c:v>
                </c:pt>
                <c:pt idx="8">
                  <c:v>1.9530124615309414</c:v>
                </c:pt>
              </c:numCache>
            </c:numRef>
          </c:xVal>
          <c:yVal>
            <c:numRef>
              <c:f>Concentration!$L$32:$L$40</c:f>
              <c:numCache>
                <c:formatCode>General</c:formatCode>
                <c:ptCount val="9"/>
                <c:pt idx="0">
                  <c:v>-2.3753631608130388E-3</c:v>
                </c:pt>
                <c:pt idx="1">
                  <c:v>0.29924969240248023</c:v>
                </c:pt>
                <c:pt idx="2">
                  <c:v>0.60107183508389628</c:v>
                </c:pt>
                <c:pt idx="3">
                  <c:v>0.77742682238931138</c:v>
                </c:pt>
                <c:pt idx="4">
                  <c:v>0.95375969173322883</c:v>
                </c:pt>
                <c:pt idx="5">
                  <c:v>0.99877435132462189</c:v>
                </c:pt>
                <c:pt idx="6">
                  <c:v>1.0779621961382011</c:v>
                </c:pt>
                <c:pt idx="7">
                  <c:v>1.1450833453958336</c:v>
                </c:pt>
                <c:pt idx="8">
                  <c:v>1.2540424571949227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7517360"/>
        <c:axId val="-1147519536"/>
      </c:scatterChart>
      <c:valAx>
        <c:axId val="-1147517360"/>
        <c:scaling>
          <c:orientation val="minMax"/>
          <c:max val="2"/>
          <c:min val="0.60000000000000053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Log 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47519536"/>
        <c:crosses val="autoZero"/>
        <c:crossBetween val="midCat"/>
        <c:majorUnit val="0.3500000000000002"/>
      </c:valAx>
      <c:valAx>
        <c:axId val="-1147519536"/>
        <c:scaling>
          <c:orientation val="minMax"/>
          <c:max val="1.3"/>
        </c:scaling>
        <c:delete val="0"/>
        <c:axPos val="l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Log Qe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47517360"/>
        <c:crosses val="autoZero"/>
        <c:crossBetween val="midCat"/>
        <c:majorUnit val="0.5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solidFill>
                  <a:srgbClr val="FF0000"/>
                </a:solidFill>
                <a:latin typeface="Times New Roman" pitchFamily="18" charset="0"/>
                <a:cs typeface="Times New Roman" pitchFamily="18" charset="0"/>
              </a:rPr>
              <a:t>C</a:t>
            </a:r>
          </a:p>
        </c:rich>
      </c:tx>
      <c:layout>
        <c:manualLayout>
          <c:xMode val="edge"/>
          <c:yMode val="edge"/>
          <c:x val="0.20178916005280662"/>
          <c:y val="5.09259259259259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26441351888675"/>
          <c:y val="0.10925925925925931"/>
          <c:w val="0.80302186878727633"/>
          <c:h val="0.62171296296296275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0D23F3"/>
              </a:solidFill>
            </a:ln>
          </c:spPr>
          <c:marker>
            <c:symbol val="circle"/>
            <c:size val="7"/>
            <c:spPr>
              <a:solidFill>
                <a:srgbClr val="FF0066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8.2743875765529384E-2"/>
                  <c:y val="0.1592592592592592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Concentration!$O$32:$O$40</c:f>
              <c:numCache>
                <c:formatCode>General</c:formatCode>
                <c:ptCount val="9"/>
                <c:pt idx="0">
                  <c:v>0.99454545454545462</c:v>
                </c:pt>
                <c:pt idx="1">
                  <c:v>1.9918181818181817</c:v>
                </c:pt>
                <c:pt idx="2">
                  <c:v>3.9909090909090903</c:v>
                </c:pt>
                <c:pt idx="3">
                  <c:v>5.9899999999999993</c:v>
                </c:pt>
                <c:pt idx="4">
                  <c:v>8.99</c:v>
                </c:pt>
                <c:pt idx="5">
                  <c:v>9.9718181818181808</c:v>
                </c:pt>
                <c:pt idx="6">
                  <c:v>11.966363636363635</c:v>
                </c:pt>
                <c:pt idx="7">
                  <c:v>13.966363636363637</c:v>
                </c:pt>
                <c:pt idx="8">
                  <c:v>17.949090909090909</c:v>
                </c:pt>
              </c:numCache>
            </c:numRef>
          </c:xVal>
          <c:yVal>
            <c:numRef>
              <c:f>Concentration!$P$32:$P$40</c:f>
              <c:numCache>
                <c:formatCode>General</c:formatCode>
                <c:ptCount val="9"/>
                <c:pt idx="0">
                  <c:v>1.603968436629565</c:v>
                </c:pt>
                <c:pt idx="1">
                  <c:v>2.2984857932431049</c:v>
                </c:pt>
                <c:pt idx="2">
                  <c:v>2.9934569597168554</c:v>
                </c:pt>
                <c:pt idx="3">
                  <c:v>3.3995293245614584</c:v>
                </c:pt>
                <c:pt idx="4">
                  <c:v>3.8055507609176296</c:v>
                </c:pt>
                <c:pt idx="5">
                  <c:v>3.9092008450589728</c:v>
                </c:pt>
                <c:pt idx="6">
                  <c:v>4.0915375960730458</c:v>
                </c:pt>
                <c:pt idx="7">
                  <c:v>4.246089753778298</c:v>
                </c:pt>
                <c:pt idx="8">
                  <c:v>4.4969773803527531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7518448"/>
        <c:axId val="-1147521168"/>
      </c:scatterChart>
      <c:valAx>
        <c:axId val="-1147518448"/>
        <c:scaling>
          <c:orientation val="minMax"/>
          <c:max val="1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Qe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47521168"/>
        <c:crosses val="autoZero"/>
        <c:crossBetween val="midCat"/>
        <c:majorUnit val="6"/>
      </c:valAx>
      <c:valAx>
        <c:axId val="-1147521168"/>
        <c:scaling>
          <c:orientation val="minMax"/>
          <c:max val="4.5"/>
          <c:min val="1.5"/>
        </c:scaling>
        <c:delete val="0"/>
        <c:axPos val="l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ln Ce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4751844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solidFill>
                  <a:srgbClr val="FF0000"/>
                </a:solidFill>
                <a:latin typeface="Times New Roman" pitchFamily="18" charset="0"/>
                <a:cs typeface="Times New Roman" pitchFamily="18" charset="0"/>
              </a:rPr>
              <a:t>D</a:t>
            </a:r>
          </a:p>
        </c:rich>
      </c:tx>
      <c:layout>
        <c:manualLayout>
          <c:xMode val="edge"/>
          <c:yMode val="edge"/>
          <c:x val="0.25416666666666682"/>
          <c:y val="5.5555555555555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030555555555552"/>
          <c:y val="9.537037037037048E-2"/>
          <c:w val="0.75330555555555601"/>
          <c:h val="0.62634259259259306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0D23F3"/>
              </a:solidFill>
            </a:ln>
          </c:spPr>
          <c:marker>
            <c:symbol val="circle"/>
            <c:size val="7"/>
            <c:spPr>
              <a:solidFill>
                <a:srgbClr val="FF0066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7.6438757655293094E-2"/>
                  <c:y val="-0.2753703703703707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Concentration!$V$32:$V$40</c:f>
              <c:numCache>
                <c:formatCode>General</c:formatCode>
                <c:ptCount val="9"/>
                <c:pt idx="0">
                  <c:v>1.0109990006985083</c:v>
                </c:pt>
                <c:pt idx="1">
                  <c:v>0.25205807501373301</c:v>
                </c:pt>
                <c:pt idx="2">
                  <c:v>6.2785062344010267E-2</c:v>
                </c:pt>
                <c:pt idx="3">
                  <c:v>2.7870602367328971E-2</c:v>
                </c:pt>
                <c:pt idx="4">
                  <c:v>1.2373159647166978E-2</c:v>
                </c:pt>
                <c:pt idx="5">
                  <c:v>1.0056602799287806E-2</c:v>
                </c:pt>
                <c:pt idx="6">
                  <c:v>6.9835397218458457E-3</c:v>
                </c:pt>
                <c:pt idx="7">
                  <c:v>5.1266457544430991E-3</c:v>
                </c:pt>
                <c:pt idx="8">
                  <c:v>3.1039526358786307E-3</c:v>
                </c:pt>
              </c:numCache>
            </c:numRef>
          </c:xVal>
          <c:yVal>
            <c:numRef>
              <c:f>Concentration!$W$32:$W$40</c:f>
              <c:numCache>
                <c:formatCode>General</c:formatCode>
                <c:ptCount val="9"/>
                <c:pt idx="0">
                  <c:v>0.69659464117520575</c:v>
                </c:pt>
                <c:pt idx="1">
                  <c:v>0.99821969673849908</c:v>
                </c:pt>
                <c:pt idx="2">
                  <c:v>1.3000418394199151</c:v>
                </c:pt>
                <c:pt idx="3">
                  <c:v>1.4763968267253302</c:v>
                </c:pt>
                <c:pt idx="4">
                  <c:v>1.6527296960692477</c:v>
                </c:pt>
                <c:pt idx="5">
                  <c:v>1.6977443556606406</c:v>
                </c:pt>
                <c:pt idx="6">
                  <c:v>1.7769322004742201</c:v>
                </c:pt>
                <c:pt idx="7">
                  <c:v>1.8440533497318523</c:v>
                </c:pt>
                <c:pt idx="8">
                  <c:v>1.9530124615309414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7512464"/>
        <c:axId val="-1147511920"/>
      </c:scatterChart>
      <c:valAx>
        <c:axId val="-1147512464"/>
        <c:scaling>
          <c:orientation val="minMax"/>
          <c:max val="1.02"/>
          <c:min val="3.0000000000000014E-3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1/Qe</a:t>
                </a:r>
                <a:r>
                  <a:rPr lang="en-US" sz="1400" baseline="30000">
                    <a:latin typeface="Times New Roman" pitchFamily="18" charset="0"/>
                    <a:cs typeface="Times New Roman" pitchFamily="18" charset="0"/>
                  </a:rPr>
                  <a:t>2</a:t>
                </a:r>
                <a:endParaRPr lang="en-US" sz="1400"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47511920"/>
        <c:crosses val="autoZero"/>
        <c:crossBetween val="midCat"/>
        <c:majorUnit val="0.5"/>
        <c:minorUnit val="1.0000000000000005E-2"/>
      </c:valAx>
      <c:valAx>
        <c:axId val="-1147511920"/>
        <c:scaling>
          <c:orientation val="minMax"/>
          <c:max val="2"/>
          <c:min val="0.5"/>
        </c:scaling>
        <c:delete val="0"/>
        <c:axPos val="l"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Log Ce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47512464"/>
        <c:crosses val="autoZero"/>
        <c:crossBetween val="midCat"/>
        <c:majorUnit val="0.5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</a:defRPr>
            </a:pPr>
            <a:r>
              <a:rPr lang="en-US">
                <a:solidFill>
                  <a:srgbClr val="FF0000"/>
                </a:solidFill>
                <a:latin typeface="Times New Roman" pitchFamily="18" charset="0"/>
                <a:cs typeface="Times New Roman" pitchFamily="18" charset="0"/>
              </a:rPr>
              <a:t>E</a:t>
            </a:r>
          </a:p>
        </c:rich>
      </c:tx>
      <c:layout>
        <c:manualLayout>
          <c:xMode val="edge"/>
          <c:yMode val="edge"/>
          <c:x val="0.16388188976377946"/>
          <c:y val="4.62962962962963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30555555555555"/>
          <c:y val="8.1481481481481433E-2"/>
          <c:w val="0.79219444444444465"/>
          <c:h val="0.64023148148148223"/>
        </c:manualLayout>
      </c:layout>
      <c:scatterChart>
        <c:scatterStyle val="smoothMarker"/>
        <c:varyColors val="0"/>
        <c:ser>
          <c:idx val="1"/>
          <c:order val="1"/>
          <c:spPr>
            <a:ln>
              <a:solidFill>
                <a:srgbClr val="FF0000"/>
              </a:solidFill>
            </a:ln>
          </c:spPr>
          <c:xVal>
            <c:numRef>
              <c:f>Concentration!$AC$32:$AC$40</c:f>
              <c:numCache>
                <c:formatCode>General</c:formatCode>
                <c:ptCount val="9"/>
                <c:pt idx="0">
                  <c:v>1.6127653384757965</c:v>
                </c:pt>
                <c:pt idx="1">
                  <c:v>1.1539636570367027</c:v>
                </c:pt>
                <c:pt idx="2">
                  <c:v>0.75006894207028285</c:v>
                </c:pt>
                <c:pt idx="3">
                  <c:v>0.56753411094515172</c:v>
                </c:pt>
                <c:pt idx="4">
                  <c:v>0.42330931712098213</c:v>
                </c:pt>
                <c:pt idx="5">
                  <c:v>0.39202488190034374</c:v>
                </c:pt>
                <c:pt idx="6">
                  <c:v>0.34191987811899649</c:v>
                </c:pt>
                <c:pt idx="7">
                  <c:v>0.30402256910474046</c:v>
                </c:pt>
                <c:pt idx="8">
                  <c:v>0.25054067657962054</c:v>
                </c:pt>
              </c:numCache>
            </c:numRef>
          </c:xVal>
          <c:yVal>
            <c:numRef>
              <c:f>Concentration!$AD$32:$AD$40</c:f>
              <c:numCache>
                <c:formatCode>General</c:formatCode>
                <c:ptCount val="9"/>
                <c:pt idx="0">
                  <c:v>1.603968436629565</c:v>
                </c:pt>
                <c:pt idx="1">
                  <c:v>2.2984857932431049</c:v>
                </c:pt>
                <c:pt idx="2">
                  <c:v>2.9934569597168554</c:v>
                </c:pt>
                <c:pt idx="3">
                  <c:v>3.3995293245614584</c:v>
                </c:pt>
                <c:pt idx="4">
                  <c:v>3.8055507609176296</c:v>
                </c:pt>
                <c:pt idx="5">
                  <c:v>3.9092008450589728</c:v>
                </c:pt>
                <c:pt idx="6">
                  <c:v>4.0915375960730458</c:v>
                </c:pt>
                <c:pt idx="7">
                  <c:v>4.246089753778298</c:v>
                </c:pt>
                <c:pt idx="8">
                  <c:v>4.4969773803527531</c:v>
                </c:pt>
              </c:numCache>
            </c:numRef>
          </c:yVal>
          <c:smooth val="1"/>
        </c:ser>
        <c:ser>
          <c:idx val="0"/>
          <c:order val="0"/>
          <c:spPr>
            <a:ln>
              <a:solidFill>
                <a:srgbClr val="0D23F3"/>
              </a:solidFill>
            </a:ln>
          </c:spPr>
          <c:marker>
            <c:symbol val="circle"/>
            <c:size val="7"/>
            <c:spPr>
              <a:solidFill>
                <a:srgbClr val="FF0066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3.8406824146981627E-2"/>
                  <c:y val="-0.3022685185185184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Concentration!$AC$32:$AC$40</c:f>
              <c:numCache>
                <c:formatCode>General</c:formatCode>
                <c:ptCount val="9"/>
                <c:pt idx="0">
                  <c:v>1.6127653384757965</c:v>
                </c:pt>
                <c:pt idx="1">
                  <c:v>1.1539636570367027</c:v>
                </c:pt>
                <c:pt idx="2">
                  <c:v>0.75006894207028285</c:v>
                </c:pt>
                <c:pt idx="3">
                  <c:v>0.56753411094515172</c:v>
                </c:pt>
                <c:pt idx="4">
                  <c:v>0.42330931712098213</c:v>
                </c:pt>
                <c:pt idx="5">
                  <c:v>0.39202488190034374</c:v>
                </c:pt>
                <c:pt idx="6">
                  <c:v>0.34191987811899649</c:v>
                </c:pt>
                <c:pt idx="7">
                  <c:v>0.30402256910474046</c:v>
                </c:pt>
                <c:pt idx="8">
                  <c:v>0.25054067657962054</c:v>
                </c:pt>
              </c:numCache>
            </c:numRef>
          </c:xVal>
          <c:yVal>
            <c:numRef>
              <c:f>Concentration!$AD$32:$AD$40</c:f>
              <c:numCache>
                <c:formatCode>General</c:formatCode>
                <c:ptCount val="9"/>
                <c:pt idx="0">
                  <c:v>1.603968436629565</c:v>
                </c:pt>
                <c:pt idx="1">
                  <c:v>2.2984857932431049</c:v>
                </c:pt>
                <c:pt idx="2">
                  <c:v>2.9934569597168554</c:v>
                </c:pt>
                <c:pt idx="3">
                  <c:v>3.3995293245614584</c:v>
                </c:pt>
                <c:pt idx="4">
                  <c:v>3.8055507609176296</c:v>
                </c:pt>
                <c:pt idx="5">
                  <c:v>3.9092008450589728</c:v>
                </c:pt>
                <c:pt idx="6">
                  <c:v>4.0915375960730458</c:v>
                </c:pt>
                <c:pt idx="7">
                  <c:v>4.246089753778298</c:v>
                </c:pt>
                <c:pt idx="8">
                  <c:v>4.4969773803527531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7527152"/>
        <c:axId val="-1104948368"/>
      </c:scatterChart>
      <c:valAx>
        <c:axId val="-1147527152"/>
        <c:scaling>
          <c:orientation val="minMax"/>
          <c:max val="1.8"/>
          <c:min val="2.0000000000000011E-2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ln Ce/Qe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4948368"/>
        <c:crosses val="autoZero"/>
        <c:crossBetween val="midCat"/>
        <c:majorUnit val="0.4"/>
      </c:valAx>
      <c:valAx>
        <c:axId val="-1104948368"/>
        <c:scaling>
          <c:orientation val="minMax"/>
          <c:min val="1"/>
        </c:scaling>
        <c:delete val="0"/>
        <c:axPos val="l"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ln 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47527152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</a:defRPr>
            </a:pPr>
            <a:r>
              <a:rPr lang="en-US">
                <a:solidFill>
                  <a:srgbClr val="FF0000"/>
                </a:solidFill>
                <a:latin typeface="Times New Roman" pitchFamily="18" charset="0"/>
                <a:cs typeface="Times New Roman" pitchFamily="18" charset="0"/>
              </a:rPr>
              <a:t>F</a:t>
            </a:r>
          </a:p>
        </c:rich>
      </c:tx>
      <c:layout>
        <c:manualLayout>
          <c:xMode val="edge"/>
          <c:yMode val="edge"/>
          <c:x val="0.21334005249343846"/>
          <c:y val="5.5555555555555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069333333333341"/>
          <c:y val="0.10925925925925935"/>
          <c:w val="0.81997333333333366"/>
          <c:h val="0.7620370370370374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0D23F3"/>
              </a:solidFill>
            </a:ln>
          </c:spPr>
          <c:marker>
            <c:symbol val="circle"/>
            <c:size val="7"/>
            <c:spPr>
              <a:solidFill>
                <a:srgbClr val="FF0066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659083552055993"/>
                  <c:y val="4.9751385243511297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Concentration!$AH$32:$AH$40</c:f>
              <c:numCache>
                <c:formatCode>General</c:formatCode>
                <c:ptCount val="9"/>
                <c:pt idx="0">
                  <c:v>-5.4694758045353209E-3</c:v>
                </c:pt>
                <c:pt idx="1">
                  <c:v>0.68904788080900459</c:v>
                </c:pt>
                <c:pt idx="2">
                  <c:v>1.3840190472827549</c:v>
                </c:pt>
                <c:pt idx="3">
                  <c:v>1.7900914121273579</c:v>
                </c:pt>
                <c:pt idx="4">
                  <c:v>2.1961128484835291</c:v>
                </c:pt>
                <c:pt idx="5">
                  <c:v>2.2997629326248723</c:v>
                </c:pt>
                <c:pt idx="6">
                  <c:v>2.4820996836389457</c:v>
                </c:pt>
                <c:pt idx="7">
                  <c:v>2.6366518413441979</c:v>
                </c:pt>
                <c:pt idx="8">
                  <c:v>2.8875394679186526</c:v>
                </c:pt>
              </c:numCache>
            </c:numRef>
          </c:xVal>
          <c:yVal>
            <c:numRef>
              <c:f>Concentration!$AI$32:$AI$40</c:f>
              <c:numCache>
                <c:formatCode>General</c:formatCode>
                <c:ptCount val="9"/>
                <c:pt idx="0">
                  <c:v>9.9526066350710902</c:v>
                </c:pt>
                <c:pt idx="1">
                  <c:v>19.924170616113745</c:v>
                </c:pt>
                <c:pt idx="2">
                  <c:v>39.905213270142177</c:v>
                </c:pt>
                <c:pt idx="3">
                  <c:v>59.876777251184834</c:v>
                </c:pt>
                <c:pt idx="4">
                  <c:v>89.781990521327018</c:v>
                </c:pt>
                <c:pt idx="5">
                  <c:v>99.73459715639811</c:v>
                </c:pt>
                <c:pt idx="6">
                  <c:v>119.67772511848339</c:v>
                </c:pt>
                <c:pt idx="7">
                  <c:v>139.60189573459715</c:v>
                </c:pt>
                <c:pt idx="8">
                  <c:v>179.478672985782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4947824"/>
        <c:axId val="-1104939664"/>
      </c:scatterChart>
      <c:valAx>
        <c:axId val="-1104947824"/>
        <c:scaling>
          <c:orientation val="minMax"/>
          <c:max val="3"/>
          <c:min val="-0.1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ln Qe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4939664"/>
        <c:crosses val="autoZero"/>
        <c:crossBetween val="midCat"/>
        <c:majorUnit val="1"/>
      </c:valAx>
      <c:valAx>
        <c:axId val="-1104939664"/>
        <c:scaling>
          <c:orientation val="minMax"/>
          <c:max val="200"/>
        </c:scaling>
        <c:delete val="0"/>
        <c:axPos val="l"/>
        <c:title>
          <c:tx>
            <c:rich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4947824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solidFill>
                  <a:srgbClr val="FF0000"/>
                </a:solidFill>
                <a:latin typeface="Times New Roman" pitchFamily="18" charset="0"/>
                <a:cs typeface="Times New Roman" pitchFamily="18" charset="0"/>
              </a:rPr>
              <a:t>G</a:t>
            </a:r>
          </a:p>
        </c:rich>
      </c:tx>
      <c:layout>
        <c:manualLayout>
          <c:xMode val="edge"/>
          <c:yMode val="edge"/>
          <c:x val="0.22018044619422575"/>
          <c:y val="6.9498077949482026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0D23F3"/>
              </a:solidFill>
            </a:ln>
          </c:spPr>
          <c:marker>
            <c:spPr>
              <a:solidFill>
                <a:srgbClr val="FF0066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7.3632764654418217E-2"/>
                  <c:y val="0.2090732020883716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Concentration!$AM$32:$AM$40</c:f>
              <c:numCache>
                <c:formatCode>General</c:formatCode>
                <c:ptCount val="9"/>
                <c:pt idx="0">
                  <c:v>1.603968436629565</c:v>
                </c:pt>
                <c:pt idx="1">
                  <c:v>2.2984857932431049</c:v>
                </c:pt>
                <c:pt idx="2">
                  <c:v>2.9934569597168554</c:v>
                </c:pt>
                <c:pt idx="3">
                  <c:v>3.3995293245614584</c:v>
                </c:pt>
                <c:pt idx="4">
                  <c:v>3.8055507609176296</c:v>
                </c:pt>
                <c:pt idx="5">
                  <c:v>3.9092008450589728</c:v>
                </c:pt>
                <c:pt idx="6">
                  <c:v>4.0915375960730458</c:v>
                </c:pt>
                <c:pt idx="7">
                  <c:v>4.246089753778298</c:v>
                </c:pt>
                <c:pt idx="8">
                  <c:v>4.4969773803527531</c:v>
                </c:pt>
              </c:numCache>
            </c:numRef>
          </c:xVal>
          <c:yVal>
            <c:numRef>
              <c:f>Concentration!$AN$32:$AN$40</c:f>
              <c:numCache>
                <c:formatCode>General</c:formatCode>
                <c:ptCount val="9"/>
                <c:pt idx="0">
                  <c:v>-5.4694758045353209E-3</c:v>
                </c:pt>
                <c:pt idx="1">
                  <c:v>0.68904788080900459</c:v>
                </c:pt>
                <c:pt idx="2">
                  <c:v>1.3840190472827549</c:v>
                </c:pt>
                <c:pt idx="3">
                  <c:v>1.7900914121273579</c:v>
                </c:pt>
                <c:pt idx="4">
                  <c:v>2.1961128484835291</c:v>
                </c:pt>
                <c:pt idx="5">
                  <c:v>2.2997629326248723</c:v>
                </c:pt>
                <c:pt idx="6">
                  <c:v>2.4820996836389457</c:v>
                </c:pt>
                <c:pt idx="7">
                  <c:v>2.6366518413441979</c:v>
                </c:pt>
                <c:pt idx="8">
                  <c:v>2.8875394679186526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4938032"/>
        <c:axId val="-1104941296"/>
      </c:scatterChart>
      <c:valAx>
        <c:axId val="-1104938032"/>
        <c:scaling>
          <c:orientation val="minMax"/>
          <c:max val="4.5"/>
          <c:min val="1.5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ln 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8575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4941296"/>
        <c:crosses val="autoZero"/>
        <c:crossBetween val="midCat"/>
        <c:majorUnit val="1"/>
      </c:valAx>
      <c:valAx>
        <c:axId val="-1104941296"/>
        <c:scaling>
          <c:orientation val="minMax"/>
          <c:max val="2.9"/>
          <c:min val="-0.1"/>
        </c:scaling>
        <c:delete val="0"/>
        <c:axPos val="l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ln qe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4938032"/>
        <c:crosses val="autoZero"/>
        <c:crossBetween val="midCat"/>
        <c:majorUnit val="1"/>
        <c:minorUnit val="0.1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pHpzc!$D$2</c:f>
              <c:strCache>
                <c:ptCount val="1"/>
                <c:pt idx="0">
                  <c:v>ΔpH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FF00"/>
              </a:solidFill>
            </c:spPr>
          </c:marker>
          <c:xVal>
            <c:numRef>
              <c:f>pHpzc!$B$3:$B$10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</c:numCache>
            </c:numRef>
          </c:xVal>
          <c:yVal>
            <c:numRef>
              <c:f>pHpzc!$D$3:$D$10</c:f>
              <c:numCache>
                <c:formatCode>General</c:formatCode>
                <c:ptCount val="8"/>
                <c:pt idx="0">
                  <c:v>-3</c:v>
                </c:pt>
                <c:pt idx="1">
                  <c:v>-2.5</c:v>
                </c:pt>
                <c:pt idx="2">
                  <c:v>-1.5999999999999996</c:v>
                </c:pt>
                <c:pt idx="3">
                  <c:v>0</c:v>
                </c:pt>
                <c:pt idx="4">
                  <c:v>0.5</c:v>
                </c:pt>
                <c:pt idx="5">
                  <c:v>2</c:v>
                </c:pt>
                <c:pt idx="6">
                  <c:v>2.8</c:v>
                </c:pt>
                <c:pt idx="7">
                  <c:v>3.8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4935856"/>
        <c:axId val="-1107890640"/>
      </c:scatterChart>
      <c:valAx>
        <c:axId val="-1104935856"/>
        <c:scaling>
          <c:orientation val="minMax"/>
          <c:max val="10"/>
          <c:min val="3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pH</a:t>
                </a:r>
                <a:r>
                  <a:rPr lang="en-US" sz="1200" baseline="0">
                    <a:latin typeface="Times New Roman" pitchFamily="18" charset="0"/>
                    <a:cs typeface="Times New Roman" pitchFamily="18" charset="0"/>
                  </a:rPr>
                  <a:t>i</a:t>
                </a:r>
                <a:endParaRPr lang="en-US" sz="1200"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7890640"/>
        <c:crosses val="autoZero"/>
        <c:crossBetween val="midCat"/>
        <c:majorUnit val="1"/>
      </c:valAx>
      <c:valAx>
        <c:axId val="-1107890640"/>
        <c:scaling>
          <c:orientation val="minMax"/>
          <c:max val="4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l-GR" sz="1200">
                    <a:latin typeface="Times New Roman" pitchFamily="18" charset="0"/>
                    <a:cs typeface="Times New Roman" pitchFamily="18" charset="0"/>
                  </a:rPr>
                  <a:t>Δ</a:t>
                </a: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4935856"/>
        <c:crosses val="autoZero"/>
        <c:crossBetween val="midCat"/>
        <c:majorUnit val="1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</c:spPr>
          </c:marker>
          <c:xVal>
            <c:numRef>
              <c:f>pH!$A$5:$A$12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xVal>
          <c:yVal>
            <c:numRef>
              <c:f>pH!$K$5:$K$12</c:f>
              <c:numCache>
                <c:formatCode>General</c:formatCode>
                <c:ptCount val="8"/>
                <c:pt idx="0">
                  <c:v>98.666053357865678</c:v>
                </c:pt>
                <c:pt idx="1">
                  <c:v>98.896044158233664</c:v>
                </c:pt>
                <c:pt idx="2">
                  <c:v>99.034038638454462</c:v>
                </c:pt>
                <c:pt idx="3">
                  <c:v>99.356025758969636</c:v>
                </c:pt>
                <c:pt idx="4">
                  <c:v>99.172033118675245</c:v>
                </c:pt>
                <c:pt idx="5">
                  <c:v>99.126034958601664</c:v>
                </c:pt>
                <c:pt idx="6">
                  <c:v>99.126034958601664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26054752"/>
        <c:axId val="-1105205392"/>
      </c:scatterChart>
      <c:valAx>
        <c:axId val="-926054752"/>
        <c:scaling>
          <c:orientation val="minMax"/>
          <c:max val="9"/>
          <c:min val="3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rgbClr val="2403ED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5205392"/>
        <c:crosses val="autoZero"/>
        <c:crossBetween val="midCat"/>
      </c:valAx>
      <c:valAx>
        <c:axId val="-1105205392"/>
        <c:scaling>
          <c:orientation val="minMax"/>
          <c:max val="99.7"/>
          <c:min val="98.5"/>
        </c:scaling>
        <c:delete val="0"/>
        <c:axPos val="l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% of adsorption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19050">
            <a:solidFill>
              <a:srgbClr val="2403ED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926054752"/>
        <c:crosses val="autoZero"/>
        <c:crossBetween val="midCat"/>
        <c:majorUnit val="0.4"/>
      </c:valAx>
      <c:spPr>
        <a:ln w="19050">
          <a:solidFill>
            <a:srgbClr val="2403ED"/>
          </a:solidFill>
        </a:ln>
      </c:spPr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74059492563429"/>
          <c:y val="6.6307961504811913E-2"/>
          <c:w val="0.75789829396325492"/>
          <c:h val="0.6892399387576551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</c:spPr>
          </c:marker>
          <c:xVal>
            <c:numRef>
              <c:f>time!$A$3:$A$10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</c:numCache>
            </c:numRef>
          </c:xVal>
          <c:yVal>
            <c:numRef>
              <c:f>time!$G$3:$G$10</c:f>
              <c:numCache>
                <c:formatCode>General</c:formatCode>
                <c:ptCount val="8"/>
                <c:pt idx="0">
                  <c:v>1.9654545454545458</c:v>
                </c:pt>
                <c:pt idx="1">
                  <c:v>1.9654545454545458</c:v>
                </c:pt>
                <c:pt idx="2">
                  <c:v>1.9663636363636363</c:v>
                </c:pt>
                <c:pt idx="3">
                  <c:v>1.9681818181818183</c:v>
                </c:pt>
                <c:pt idx="4">
                  <c:v>1.9645454545454544</c:v>
                </c:pt>
                <c:pt idx="5">
                  <c:v>1.9645454545454544</c:v>
                </c:pt>
                <c:pt idx="6">
                  <c:v>1.9636363636363636</c:v>
                </c:pt>
                <c:pt idx="7">
                  <c:v>1.9636363636363636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5199408"/>
        <c:axId val="-1105204304"/>
      </c:scatterChart>
      <c:valAx>
        <c:axId val="-1105199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Time (minute)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rgbClr val="2403ED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5204304"/>
        <c:crosses val="autoZero"/>
        <c:crossBetween val="midCat"/>
      </c:valAx>
      <c:valAx>
        <c:axId val="-1105204304"/>
        <c:scaling>
          <c:orientation val="minMax"/>
          <c:max val="1.9700000000000006"/>
          <c:min val="1.9600000000000006"/>
        </c:scaling>
        <c:delete val="0"/>
        <c:axPos val="l"/>
        <c:title>
          <c:tx>
            <c:rich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Qt (mg</a:t>
                </a:r>
                <a:r>
                  <a:rPr lang="en-US" sz="1200" baseline="0"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g</a:t>
                </a:r>
                <a:r>
                  <a:rPr lang="en-US" sz="1200" baseline="30000">
                    <a:latin typeface="Times New Roman" pitchFamily="18" charset="0"/>
                    <a:cs typeface="Times New Roman" pitchFamily="18" charset="0"/>
                  </a:rPr>
                  <a:t>-1</a:t>
                </a:r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)</a:t>
                </a:r>
              </a:p>
            </c:rich>
          </c:tx>
          <c:overlay val="0"/>
        </c:title>
        <c:numFmt formatCode="#,##0.000" sourceLinked="0"/>
        <c:majorTickMark val="out"/>
        <c:minorTickMark val="none"/>
        <c:tickLblPos val="nextTo"/>
        <c:spPr>
          <a:ln w="19050">
            <a:solidFill>
              <a:srgbClr val="2403ED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5199408"/>
        <c:crosses val="autoZero"/>
        <c:crossBetween val="midCat"/>
        <c:majorUnit val="2.5000000000000014E-3"/>
      </c:valAx>
      <c:spPr>
        <a:ln w="19050">
          <a:solidFill>
            <a:srgbClr val="2403ED"/>
          </a:solidFill>
        </a:ln>
      </c:spPr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40726159230145"/>
          <c:y val="0.12186351706036745"/>
          <c:w val="0.73623162729658953"/>
          <c:h val="0.66794364246136029"/>
        </c:manualLayout>
      </c:layout>
      <c:scatterChart>
        <c:scatterStyle val="smoothMarker"/>
        <c:varyColors val="0"/>
        <c:ser>
          <c:idx val="1"/>
          <c:order val="1"/>
          <c:spPr>
            <a:ln w="25400">
              <a:solidFill>
                <a:srgbClr val="0D23F3"/>
              </a:solidFill>
            </a:ln>
          </c:spPr>
          <c:xVal>
            <c:numRef>
              <c:f>time!$A$3:$A$10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</c:numCache>
            </c:numRef>
          </c:xVal>
          <c:yVal>
            <c:numRef>
              <c:f>time!$L$3:$L$10</c:f>
              <c:numCache>
                <c:formatCode>General</c:formatCode>
                <c:ptCount val="8"/>
                <c:pt idx="0">
                  <c:v>-4.7004803657924468</c:v>
                </c:pt>
                <c:pt idx="1">
                  <c:v>-4.7004803657924468</c:v>
                </c:pt>
                <c:pt idx="2">
                  <c:v>-4.8058408814502291</c:v>
                </c:pt>
                <c:pt idx="3">
                  <c:v>-5.0571553097311508</c:v>
                </c:pt>
                <c:pt idx="4">
                  <c:v>-4.6051701859880687</c:v>
                </c:pt>
                <c:pt idx="5">
                  <c:v>-4.6051701859880687</c:v>
                </c:pt>
                <c:pt idx="6">
                  <c:v>-4.5181588089984555</c:v>
                </c:pt>
                <c:pt idx="7">
                  <c:v>-4.5181588089984555</c:v>
                </c:pt>
              </c:numCache>
            </c:numRef>
          </c:yVal>
          <c:smooth val="1"/>
        </c:ser>
        <c:ser>
          <c:idx val="0"/>
          <c:order val="0"/>
          <c:spPr>
            <a:ln w="22225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FF00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1.2040439389520761E-2"/>
                  <c:y val="0.3318401866433363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time!$A$3:$A$10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</c:numCache>
            </c:numRef>
          </c:xVal>
          <c:yVal>
            <c:numRef>
              <c:f>time!$L$3:$L$10</c:f>
              <c:numCache>
                <c:formatCode>General</c:formatCode>
                <c:ptCount val="8"/>
                <c:pt idx="0">
                  <c:v>-4.7004803657924468</c:v>
                </c:pt>
                <c:pt idx="1">
                  <c:v>-4.7004803657924468</c:v>
                </c:pt>
                <c:pt idx="2">
                  <c:v>-4.8058408814502291</c:v>
                </c:pt>
                <c:pt idx="3">
                  <c:v>-5.0571553097311508</c:v>
                </c:pt>
                <c:pt idx="4">
                  <c:v>-4.6051701859880687</c:v>
                </c:pt>
                <c:pt idx="5">
                  <c:v>-4.6051701859880687</c:v>
                </c:pt>
                <c:pt idx="6">
                  <c:v>-4.5181588089984555</c:v>
                </c:pt>
                <c:pt idx="7">
                  <c:v>-4.5181588089984555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5205936"/>
        <c:axId val="-1105204848"/>
      </c:scatterChart>
      <c:valAx>
        <c:axId val="-110520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600">
                    <a:latin typeface="Times New Roman" pitchFamily="18" charset="0"/>
                    <a:cs typeface="Times New Roman" pitchFamily="18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0.56267586922005131"/>
              <c:y val="0.812962962962962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rgbClr val="2403ED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5204848"/>
        <c:crosses val="autoZero"/>
        <c:crossBetween val="midCat"/>
      </c:valAx>
      <c:valAx>
        <c:axId val="-1105204848"/>
        <c:scaling>
          <c:orientation val="minMax"/>
          <c:max val="-4.3"/>
          <c:min val="-5.3"/>
        </c:scaling>
        <c:delete val="0"/>
        <c:axPos val="l"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ln qe-qt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rgbClr val="2403ED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5205936"/>
        <c:crosses val="autoZero"/>
        <c:crossBetween val="midCat"/>
        <c:majorUnit val="0.2"/>
        <c:minorUnit val="0.2"/>
      </c:valAx>
      <c:spPr>
        <a:ln w="19050">
          <a:solidFill>
            <a:srgbClr val="2403ED"/>
          </a:solidFill>
        </a:ln>
      </c:spPr>
    </c:plotArea>
    <c:plotVisOnly val="1"/>
    <c:dispBlanksAs val="gap"/>
    <c:showDLblsOverMax val="0"/>
  </c:chart>
  <c:spPr>
    <a:ln>
      <a:solidFill>
        <a:srgbClr val="FF0000"/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82392825896763"/>
          <c:y val="8.4826480023330458E-2"/>
          <c:w val="0.78970384951881034"/>
          <c:h val="0.6679436424613594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1.3490813648293983E-3"/>
                  <c:y val="0.2716550014581507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="1" baseline="0">
                        <a:latin typeface="Times New Roman" pitchFamily="18" charset="0"/>
                        <a:cs typeface="Times New Roman" pitchFamily="18" charset="0"/>
                      </a:rPr>
                      <a:t>y = 0,489x - 0,003
R² = 1</a:t>
                    </a:r>
                    <a:endParaRPr lang="en-US" sz="1200" b="1"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time!$A$3:$A$10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75</c:v>
                </c:pt>
                <c:pt idx="7">
                  <c:v>90</c:v>
                </c:pt>
              </c:numCache>
            </c:numRef>
          </c:xVal>
          <c:yVal>
            <c:numRef>
              <c:f>time!$M$3:$M$10</c:f>
              <c:numCache>
                <c:formatCode>General</c:formatCode>
                <c:ptCount val="8"/>
                <c:pt idx="0">
                  <c:v>2.5439407955596667</c:v>
                </c:pt>
                <c:pt idx="1">
                  <c:v>5.0878815911193334</c:v>
                </c:pt>
                <c:pt idx="2">
                  <c:v>10.171058714748035</c:v>
                </c:pt>
                <c:pt idx="3">
                  <c:v>15.242494226327944</c:v>
                </c:pt>
                <c:pt idx="4">
                  <c:v>22.906062008329478</c:v>
                </c:pt>
                <c:pt idx="5">
                  <c:v>30.541416011105973</c:v>
                </c:pt>
                <c:pt idx="6">
                  <c:v>38.194444444444443</c:v>
                </c:pt>
                <c:pt idx="7">
                  <c:v>45.833333333333336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5202672"/>
        <c:axId val="-1105201040"/>
      </c:scatterChart>
      <c:valAx>
        <c:axId val="-110520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600">
                    <a:latin typeface="Times New Roman" pitchFamily="18" charset="0"/>
                    <a:cs typeface="Times New Roman" pitchFamily="18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0.52387948381452365"/>
              <c:y val="0.827754447360747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2403ED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5201040"/>
        <c:crosses val="autoZero"/>
        <c:crossBetween val="midCat"/>
      </c:valAx>
      <c:valAx>
        <c:axId val="-1105201040"/>
        <c:scaling>
          <c:orientation val="minMax"/>
          <c:max val="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t/qt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rgbClr val="2403ED"/>
            </a:solidFill>
          </a:ln>
        </c:spPr>
        <c:txPr>
          <a:bodyPr/>
          <a:lstStyle/>
          <a:p>
            <a:pPr>
              <a:defRPr sz="11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5202672"/>
        <c:crosses val="autoZero"/>
        <c:crossBetween val="midCat"/>
        <c:majorUnit val="10"/>
      </c:valAx>
      <c:spPr>
        <a:noFill/>
        <a:ln w="22225">
          <a:solidFill>
            <a:srgbClr val="2403ED"/>
          </a:solidFill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030555555555552"/>
          <c:y val="8.2870370370370386E-2"/>
          <c:w val="0.76163888888888931"/>
          <c:h val="0.66662037037037092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6519269466316711"/>
                  <c:y val="7.5393336249635595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time!$G$3:$G$10</c:f>
              <c:numCache>
                <c:formatCode>General</c:formatCode>
                <c:ptCount val="8"/>
                <c:pt idx="0">
                  <c:v>1.9654545454545458</c:v>
                </c:pt>
                <c:pt idx="1">
                  <c:v>1.9654545454545458</c:v>
                </c:pt>
                <c:pt idx="2">
                  <c:v>1.9663636363636363</c:v>
                </c:pt>
                <c:pt idx="3">
                  <c:v>1.9681818181818183</c:v>
                </c:pt>
                <c:pt idx="4">
                  <c:v>1.9645454545454544</c:v>
                </c:pt>
                <c:pt idx="5">
                  <c:v>1.9645454545454544</c:v>
                </c:pt>
                <c:pt idx="6">
                  <c:v>1.9636363636363636</c:v>
                </c:pt>
                <c:pt idx="7">
                  <c:v>1.9636363636363636</c:v>
                </c:pt>
              </c:numCache>
            </c:numRef>
          </c:xVal>
          <c:yVal>
            <c:numRef>
              <c:f>time!$N$3:$N$10</c:f>
              <c:numCache>
                <c:formatCode>General</c:formatCode>
                <c:ptCount val="8"/>
                <c:pt idx="0">
                  <c:v>1.6094379124341003</c:v>
                </c:pt>
                <c:pt idx="1">
                  <c:v>2.3025850929940459</c:v>
                </c:pt>
                <c:pt idx="2">
                  <c:v>2.9957322735539909</c:v>
                </c:pt>
                <c:pt idx="3">
                  <c:v>3.4011973816621555</c:v>
                </c:pt>
                <c:pt idx="4">
                  <c:v>3.8066624897703196</c:v>
                </c:pt>
                <c:pt idx="5">
                  <c:v>4.0943445622221004</c:v>
                </c:pt>
                <c:pt idx="6">
                  <c:v>4.3174881135363101</c:v>
                </c:pt>
                <c:pt idx="7">
                  <c:v>4.499809670330265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05200496"/>
        <c:axId val="-915521488"/>
      </c:scatterChart>
      <c:valAx>
        <c:axId val="-1105200496"/>
        <c:scaling>
          <c:orientation val="minMax"/>
          <c:max val="1.9700000000000006"/>
          <c:min val="1.9600000000000006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qt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2403ED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915521488"/>
        <c:crosses val="autoZero"/>
        <c:crossBetween val="midCat"/>
        <c:majorUnit val="2.0000000000000031E-3"/>
      </c:valAx>
      <c:valAx>
        <c:axId val="-915521488"/>
        <c:scaling>
          <c:orientation val="minMax"/>
          <c:max val="4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ln 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2403ED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05200496"/>
        <c:crosses val="autoZero"/>
        <c:crossBetween val="midCat"/>
        <c:majorUnit val="1.5"/>
      </c:valAx>
      <c:spPr>
        <a:ln w="25400">
          <a:solidFill>
            <a:srgbClr val="2403ED"/>
          </a:solidFill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97222222222221"/>
          <c:y val="8.2870370370370386E-2"/>
          <c:w val="0.76997222222222239"/>
          <c:h val="0.66662037037037092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3001749781277369"/>
                  <c:y val="-1.1125692621755615E-2"/>
                </c:manualLayout>
              </c:layout>
              <c:tx>
                <c:rich>
                  <a:bodyPr/>
                  <a:lstStyle/>
                  <a:p>
                    <a:pPr>
                      <a:defRPr sz="1100" b="1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 sz="1200" baseline="0"/>
                      <a:t>y = 896,6x - 1826,
R² = 0,253</a:t>
                    </a:r>
                    <a:endParaRPr lang="en-US" sz="1200"/>
                  </a:p>
                </c:rich>
              </c:tx>
              <c:numFmt formatCode="General" sourceLinked="0"/>
            </c:trendlineLbl>
          </c:trendline>
          <c:xVal>
            <c:numRef>
              <c:f>time!$G$3:$G$10</c:f>
              <c:numCache>
                <c:formatCode>General</c:formatCode>
                <c:ptCount val="8"/>
                <c:pt idx="0">
                  <c:v>1.9654545454545458</c:v>
                </c:pt>
                <c:pt idx="1">
                  <c:v>1.9654545454545458</c:v>
                </c:pt>
                <c:pt idx="2">
                  <c:v>1.9663636363636363</c:v>
                </c:pt>
                <c:pt idx="3">
                  <c:v>1.9681818181818183</c:v>
                </c:pt>
                <c:pt idx="4">
                  <c:v>1.9645454545454544</c:v>
                </c:pt>
                <c:pt idx="5">
                  <c:v>1.9645454545454544</c:v>
                </c:pt>
                <c:pt idx="6">
                  <c:v>1.9636363636363636</c:v>
                </c:pt>
                <c:pt idx="7">
                  <c:v>1.9636363636363636</c:v>
                </c:pt>
              </c:numCache>
            </c:numRef>
          </c:xVal>
          <c:yVal>
            <c:numRef>
              <c:f>time!$O$3:$O$10</c:f>
              <c:numCache>
                <c:formatCode>General</c:formatCode>
                <c:ptCount val="8"/>
                <c:pt idx="0">
                  <c:v>2.2360679774997898</c:v>
                </c:pt>
                <c:pt idx="1">
                  <c:v>3.1622776601683795</c:v>
                </c:pt>
                <c:pt idx="2">
                  <c:v>4.4721359549995796</c:v>
                </c:pt>
                <c:pt idx="3">
                  <c:v>5.4772255750516612</c:v>
                </c:pt>
                <c:pt idx="4">
                  <c:v>6.7082039324993694</c:v>
                </c:pt>
                <c:pt idx="5">
                  <c:v>7.745966692414834</c:v>
                </c:pt>
                <c:pt idx="6">
                  <c:v>8.6602540378443873</c:v>
                </c:pt>
                <c:pt idx="7">
                  <c:v>9.4868329805051381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5525296"/>
        <c:axId val="-915520944"/>
      </c:scatterChart>
      <c:valAx>
        <c:axId val="-915525296"/>
        <c:scaling>
          <c:orientation val="minMax"/>
          <c:max val="1.9700000000000006"/>
          <c:min val="1.9600000000000006"/>
        </c:scaling>
        <c:delete val="0"/>
        <c:axPos val="b"/>
        <c:title>
          <c:tx>
            <c:rich>
              <a:bodyPr/>
              <a:lstStyle/>
              <a:p>
                <a:pPr>
                  <a:defRPr sz="1400"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 b="1">
                    <a:latin typeface="Times New Roman" pitchFamily="18" charset="0"/>
                    <a:cs typeface="Times New Roman" pitchFamily="18" charset="0"/>
                  </a:rPr>
                  <a:t>qt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2403ED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915520944"/>
        <c:crosses val="autoZero"/>
        <c:crossBetween val="midCat"/>
        <c:majorUnit val="2.0000000000000013E-3"/>
        <c:minorUnit val="4.0000000000000029E-4"/>
      </c:valAx>
      <c:valAx>
        <c:axId val="-915520944"/>
        <c:scaling>
          <c:orientation val="minMax"/>
          <c:max val="10"/>
          <c:min val="2"/>
        </c:scaling>
        <c:delete val="0"/>
        <c:axPos val="l"/>
        <c:title>
          <c:tx>
            <c:rich>
              <a:bodyPr/>
              <a:lstStyle/>
              <a:p>
                <a:pPr>
                  <a:defRPr sz="1400"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 b="1">
                    <a:latin typeface="Times New Roman" pitchFamily="18" charset="0"/>
                    <a:cs typeface="Times New Roman" pitchFamily="18" charset="0"/>
                  </a:rPr>
                  <a:t>√t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2403ED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915525296"/>
        <c:crosses val="autoZero"/>
        <c:crossBetween val="midCat"/>
        <c:majorUnit val="2"/>
      </c:valAx>
      <c:spPr>
        <a:noFill/>
        <a:ln w="25400">
          <a:solidFill>
            <a:srgbClr val="2403ED"/>
          </a:solidFill>
        </a:ln>
      </c:spPr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35170603674538"/>
          <c:y val="6.167833187518227E-2"/>
          <c:w val="0.78081496062992128"/>
          <c:h val="0.6892399387576541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0D23F3"/>
              </a:solidFill>
            </a:ln>
          </c:spPr>
          <c:marker>
            <c:spPr>
              <a:solidFill>
                <a:srgbClr val="FF0066"/>
              </a:solidFill>
            </c:spPr>
          </c:marker>
          <c:xVal>
            <c:numRef>
              <c:f>Concentration!$B$4:$B$12</c:f>
              <c:numCache>
                <c:formatCode>General</c:formatCode>
                <c:ptCount val="9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90</c:v>
                </c:pt>
              </c:numCache>
            </c:numRef>
          </c:xVal>
          <c:yVal>
            <c:numRef>
              <c:f>Concentration!$I$4:$I$12</c:f>
              <c:numCache>
                <c:formatCode>General</c:formatCode>
                <c:ptCount val="9"/>
                <c:pt idx="0">
                  <c:v>99.454545454545453</c:v>
                </c:pt>
                <c:pt idx="1">
                  <c:v>99.590909090909079</c:v>
                </c:pt>
                <c:pt idx="2">
                  <c:v>99.772727272727266</c:v>
                </c:pt>
                <c:pt idx="3">
                  <c:v>99.833333333333329</c:v>
                </c:pt>
                <c:pt idx="4">
                  <c:v>99.8888888888889</c:v>
                </c:pt>
                <c:pt idx="5">
                  <c:v>99.718181818181819</c:v>
                </c:pt>
                <c:pt idx="6">
                  <c:v>99.719696969696969</c:v>
                </c:pt>
                <c:pt idx="7">
                  <c:v>99.759740259740255</c:v>
                </c:pt>
                <c:pt idx="8">
                  <c:v>99.717171717171723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7520080"/>
        <c:axId val="-1147525520"/>
      </c:scatterChart>
      <c:valAx>
        <c:axId val="-1147520080"/>
        <c:scaling>
          <c:orientation val="minMax"/>
          <c:max val="90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000">
                    <a:latin typeface="Times New Roman" pitchFamily="18" charset="0"/>
                    <a:cs typeface="Times New Roman" pitchFamily="18" charset="0"/>
                  </a:rPr>
                  <a:t>Concentration (ppm)</a:t>
                </a:r>
              </a:p>
            </c:rich>
          </c:tx>
          <c:layout>
            <c:manualLayout>
              <c:xMode val="edge"/>
              <c:yMode val="edge"/>
              <c:x val="0.40077996500437452"/>
              <c:y val="0.875925925925925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47525520"/>
        <c:crosses val="autoZero"/>
        <c:crossBetween val="midCat"/>
        <c:majorUnit val="30"/>
      </c:valAx>
      <c:valAx>
        <c:axId val="-1147525520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000">
                    <a:latin typeface="Times New Roman" pitchFamily="18" charset="0"/>
                    <a:cs typeface="Times New Roman" pitchFamily="18" charset="0"/>
                  </a:rPr>
                  <a:t>% of adsorption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47520080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FF0000"/>
                </a:solidFill>
                <a:latin typeface="Times New Roman" pitchFamily="18" charset="0"/>
                <a:cs typeface="Times New Roman" pitchFamily="18" charset="0"/>
              </a:defRPr>
            </a:pPr>
            <a:r>
              <a:rPr lang="en-US">
                <a:solidFill>
                  <a:srgbClr val="FF0000"/>
                </a:solidFill>
                <a:latin typeface="Times New Roman" pitchFamily="18" charset="0"/>
                <a:cs typeface="Times New Roman" pitchFamily="18" charset="0"/>
              </a:rPr>
              <a:t>A</a:t>
            </a:r>
          </a:p>
        </c:rich>
      </c:tx>
      <c:layout>
        <c:manualLayout>
          <c:xMode val="edge"/>
          <c:yMode val="edge"/>
          <c:x val="0.2069444444444446"/>
          <c:y val="6.01851851851851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884951881014883"/>
          <c:y val="0.10093759113444145"/>
          <c:w val="0.6601642607174103"/>
          <c:h val="0.63199803149606348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rgbClr val="0D23F3"/>
              </a:solidFill>
            </a:ln>
          </c:spPr>
          <c:marker>
            <c:symbol val="circle"/>
            <c:size val="7"/>
            <c:spPr>
              <a:solidFill>
                <a:srgbClr val="FF0066"/>
              </a:solidFill>
            </c:spPr>
          </c:marker>
          <c:trendline>
            <c:spPr>
              <a:ln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0.31973250218722682"/>
                  <c:y val="0.1513527996500437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>
                      <a:latin typeface="Times New Roman" pitchFamily="18" charset="0"/>
                      <a:cs typeface="Times New Roman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Concentration!$D$32:$D$40</c:f>
              <c:numCache>
                <c:formatCode>General</c:formatCode>
                <c:ptCount val="9"/>
                <c:pt idx="0">
                  <c:v>0.20109689213893966</c:v>
                </c:pt>
                <c:pt idx="1">
                  <c:v>0.10041077133728891</c:v>
                </c:pt>
                <c:pt idx="2">
                  <c:v>5.0113895216400917E-2</c:v>
                </c:pt>
                <c:pt idx="3">
                  <c:v>3.3388981636060099E-2</c:v>
                </c:pt>
                <c:pt idx="4">
                  <c:v>2.2246941045606226E-2</c:v>
                </c:pt>
                <c:pt idx="5">
                  <c:v>2.0056522928252347E-2</c:v>
                </c:pt>
                <c:pt idx="6">
                  <c:v>1.6713515156119428E-2</c:v>
                </c:pt>
                <c:pt idx="7">
                  <c:v>1.4320119768274426E-2</c:v>
                </c:pt>
                <c:pt idx="8">
                  <c:v>1.1142625607779578E-2</c:v>
                </c:pt>
              </c:numCache>
            </c:numRef>
          </c:xVal>
          <c:yVal>
            <c:numRef>
              <c:f>Concentration!$E$32:$E$40</c:f>
              <c:numCache>
                <c:formatCode>General</c:formatCode>
                <c:ptCount val="9"/>
                <c:pt idx="0">
                  <c:v>1.0054844606946982</c:v>
                </c:pt>
                <c:pt idx="1">
                  <c:v>0.50205385668644453</c:v>
                </c:pt>
                <c:pt idx="2">
                  <c:v>0.25056947608200458</c:v>
                </c:pt>
                <c:pt idx="3">
                  <c:v>0.16694490818030053</c:v>
                </c:pt>
                <c:pt idx="4">
                  <c:v>0.11123470522803114</c:v>
                </c:pt>
                <c:pt idx="5">
                  <c:v>0.10028261464126174</c:v>
                </c:pt>
                <c:pt idx="6">
                  <c:v>8.3567575780597134E-2</c:v>
                </c:pt>
                <c:pt idx="7">
                  <c:v>7.1600598841372126E-2</c:v>
                </c:pt>
                <c:pt idx="8">
                  <c:v>5.5713128038897893E-2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7516816"/>
        <c:axId val="-1147521712"/>
      </c:scatterChart>
      <c:valAx>
        <c:axId val="-1147516816"/>
        <c:scaling>
          <c:orientation val="minMax"/>
          <c:max val="0.21000000000000013"/>
          <c:min val="1.0000000000000005E-2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1/Ce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47521712"/>
        <c:crosses val="autoZero"/>
        <c:crossBetween val="midCat"/>
        <c:majorUnit val="0.05"/>
      </c:valAx>
      <c:valAx>
        <c:axId val="-1147521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400">
                    <a:latin typeface="Times New Roman" pitchFamily="18" charset="0"/>
                    <a:cs typeface="Times New Roman" pitchFamily="18" charset="0"/>
                  </a:rPr>
                  <a:t>1/Qe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54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-11475168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13" Type="http://schemas.openxmlformats.org/officeDocument/2006/relationships/image" Target="../media/image7.pn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12" Type="http://schemas.openxmlformats.org/officeDocument/2006/relationships/image" Target="../media/image6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11" Type="http://schemas.openxmlformats.org/officeDocument/2006/relationships/image" Target="../media/image5.png"/><Relationship Id="rId5" Type="http://schemas.openxmlformats.org/officeDocument/2006/relationships/chart" Target="../charts/chart12.xml"/><Relationship Id="rId10" Type="http://schemas.openxmlformats.org/officeDocument/2006/relationships/image" Target="../media/image4.png"/><Relationship Id="rId4" Type="http://schemas.openxmlformats.org/officeDocument/2006/relationships/chart" Target="../charts/chart11.xml"/><Relationship Id="rId9" Type="http://schemas.openxmlformats.org/officeDocument/2006/relationships/image" Target="../media/image3.png"/><Relationship Id="rId14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171450</xdr:rowOff>
    </xdr:from>
    <xdr:to>
      <xdr:col>10</xdr:col>
      <xdr:colOff>333375</xdr:colOff>
      <xdr:row>15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12</xdr:row>
      <xdr:rowOff>104775</xdr:rowOff>
    </xdr:from>
    <xdr:to>
      <xdr:col>9</xdr:col>
      <xdr:colOff>381000</xdr:colOff>
      <xdr:row>26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47625</xdr:rowOff>
    </xdr:from>
    <xdr:to>
      <xdr:col>7</xdr:col>
      <xdr:colOff>381000</xdr:colOff>
      <xdr:row>26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12</xdr:row>
      <xdr:rowOff>66675</xdr:rowOff>
    </xdr:from>
    <xdr:to>
      <xdr:col>15</xdr:col>
      <xdr:colOff>276225</xdr:colOff>
      <xdr:row>26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342900</xdr:colOff>
      <xdr:row>12</xdr:row>
      <xdr:rowOff>66675</xdr:rowOff>
    </xdr:from>
    <xdr:to>
      <xdr:col>23</xdr:col>
      <xdr:colOff>38100</xdr:colOff>
      <xdr:row>26</xdr:row>
      <xdr:rowOff>142875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523875</xdr:colOff>
      <xdr:row>13</xdr:row>
      <xdr:rowOff>47625</xdr:rowOff>
    </xdr:from>
    <xdr:to>
      <xdr:col>31</xdr:col>
      <xdr:colOff>219075</xdr:colOff>
      <xdr:row>27</xdr:row>
      <xdr:rowOff>123825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57150</xdr:colOff>
      <xdr:row>13</xdr:row>
      <xdr:rowOff>28575</xdr:rowOff>
    </xdr:from>
    <xdr:to>
      <xdr:col>39</xdr:col>
      <xdr:colOff>361950</xdr:colOff>
      <xdr:row>27</xdr:row>
      <xdr:rowOff>104775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9525</xdr:colOff>
      <xdr:row>15</xdr:row>
      <xdr:rowOff>180975</xdr:rowOff>
    </xdr:from>
    <xdr:ext cx="184731" cy="264560"/>
    <xdr:sp macro="" textlink="">
      <xdr:nvSpPr>
        <xdr:cNvPr id="15" name="TextBox 14"/>
        <xdr:cNvSpPr txBox="1"/>
      </xdr:nvSpPr>
      <xdr:spPr>
        <a:xfrm>
          <a:off x="6715125" y="310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247650</xdr:colOff>
      <xdr:row>13</xdr:row>
      <xdr:rowOff>38100</xdr:rowOff>
    </xdr:from>
    <xdr:ext cx="351378" cy="357790"/>
    <xdr:sp macro="" textlink="">
      <xdr:nvSpPr>
        <xdr:cNvPr id="16" name="TextBox 15"/>
        <xdr:cNvSpPr txBox="1"/>
      </xdr:nvSpPr>
      <xdr:spPr>
        <a:xfrm>
          <a:off x="5124450" y="2581275"/>
          <a:ext cx="351378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8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A</a:t>
          </a:r>
        </a:p>
      </xdr:txBody>
    </xdr:sp>
    <xdr:clientData/>
  </xdr:oneCellAnchor>
  <xdr:twoCellAnchor editAs="oneCell">
    <xdr:from>
      <xdr:col>8</xdr:col>
      <xdr:colOff>0</xdr:colOff>
      <xdr:row>28</xdr:row>
      <xdr:rowOff>0</xdr:rowOff>
    </xdr:from>
    <xdr:to>
      <xdr:col>12</xdr:col>
      <xdr:colOff>228600</xdr:colOff>
      <xdr:row>30</xdr:row>
      <xdr:rowOff>9525</xdr:rowOff>
    </xdr:to>
    <xdr:pic>
      <xdr:nvPicPr>
        <xdr:cNvPr id="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 l="7028" t="50260" r="72035" b="44401"/>
        <a:stretch>
          <a:fillRect/>
        </a:stretch>
      </xdr:blipFill>
      <xdr:spPr bwMode="auto">
        <a:xfrm>
          <a:off x="4876800" y="5400675"/>
          <a:ext cx="2724150" cy="390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0</xdr:colOff>
      <xdr:row>28</xdr:row>
      <xdr:rowOff>0</xdr:rowOff>
    </xdr:from>
    <xdr:to>
      <xdr:col>20</xdr:col>
      <xdr:colOff>285750</xdr:colOff>
      <xdr:row>30</xdr:row>
      <xdr:rowOff>57150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 l="7028" t="55729" r="72035" b="38281"/>
        <a:stretch>
          <a:fillRect/>
        </a:stretch>
      </xdr:blipFill>
      <xdr:spPr bwMode="auto">
        <a:xfrm>
          <a:off x="9753600" y="5400675"/>
          <a:ext cx="2724150" cy="438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24</xdr:col>
      <xdr:colOff>0</xdr:colOff>
      <xdr:row>28</xdr:row>
      <xdr:rowOff>0</xdr:rowOff>
    </xdr:from>
    <xdr:to>
      <xdr:col>28</xdr:col>
      <xdr:colOff>285750</xdr:colOff>
      <xdr:row>30</xdr:row>
      <xdr:rowOff>142875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 l="7028" t="61718" r="72035" b="31120"/>
        <a:stretch>
          <a:fillRect/>
        </a:stretch>
      </xdr:blipFill>
      <xdr:spPr bwMode="auto">
        <a:xfrm>
          <a:off x="14630400" y="5400675"/>
          <a:ext cx="2724150" cy="52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32</xdr:col>
      <xdr:colOff>66675</xdr:colOff>
      <xdr:row>29</xdr:row>
      <xdr:rowOff>9525</xdr:rowOff>
    </xdr:from>
    <xdr:to>
      <xdr:col>33</xdr:col>
      <xdr:colOff>447675</xdr:colOff>
      <xdr:row>30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9573875" y="5600700"/>
          <a:ext cx="990600" cy="1905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0.01041</cdr:x>
      <cdr:y>0.05555</cdr:y>
    </cdr:from>
    <cdr:to>
      <cdr:x>0.08727</cdr:x>
      <cdr:y>0.18598</cdr:y>
    </cdr:to>
    <cdr:sp macro="" textlink="">
      <cdr:nvSpPr>
        <cdr:cNvPr id="2" name="TextBox 15"/>
        <cdr:cNvSpPr txBox="1"/>
      </cdr:nvSpPr>
      <cdr:spPr>
        <a:xfrm xmlns:a="http://schemas.openxmlformats.org/drawingml/2006/main">
          <a:off x="47610" y="152394"/>
          <a:ext cx="351404" cy="357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8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B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0.02083</cdr:x>
      <cdr:y>0.02083</cdr:y>
    </cdr:from>
    <cdr:to>
      <cdr:x>0.09768</cdr:x>
      <cdr:y>0.15126</cdr:y>
    </cdr:to>
    <cdr:sp macro="" textlink="">
      <cdr:nvSpPr>
        <cdr:cNvPr id="2" name="TextBox 15"/>
        <cdr:cNvSpPr txBox="1"/>
      </cdr:nvSpPr>
      <cdr:spPr>
        <a:xfrm xmlns:a="http://schemas.openxmlformats.org/drawingml/2006/main">
          <a:off x="95250" y="57150"/>
          <a:ext cx="351358" cy="357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8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C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0.01249</cdr:x>
      <cdr:y>0.07291</cdr:y>
    </cdr:from>
    <cdr:to>
      <cdr:x>0.08935</cdr:x>
      <cdr:y>0.20334</cdr:y>
    </cdr:to>
    <cdr:sp macro="" textlink="">
      <cdr:nvSpPr>
        <cdr:cNvPr id="2" name="TextBox 15"/>
        <cdr:cNvSpPr txBox="1"/>
      </cdr:nvSpPr>
      <cdr:spPr>
        <a:xfrm xmlns:a="http://schemas.openxmlformats.org/drawingml/2006/main">
          <a:off x="57120" y="200016"/>
          <a:ext cx="351403" cy="357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8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D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13</xdr:row>
      <xdr:rowOff>28575</xdr:rowOff>
    </xdr:from>
    <xdr:to>
      <xdr:col>8</xdr:col>
      <xdr:colOff>219075</xdr:colOff>
      <xdr:row>27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41</xdr:row>
      <xdr:rowOff>142875</xdr:rowOff>
    </xdr:from>
    <xdr:to>
      <xdr:col>7</xdr:col>
      <xdr:colOff>428625</xdr:colOff>
      <xdr:row>56</xdr:row>
      <xdr:rowOff>28575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219075</xdr:colOff>
      <xdr:row>42</xdr:row>
      <xdr:rowOff>66675</xdr:rowOff>
    </xdr:from>
    <xdr:to>
      <xdr:col>15</xdr:col>
      <xdr:colOff>523875</xdr:colOff>
      <xdr:row>56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533400</xdr:colOff>
      <xdr:row>41</xdr:row>
      <xdr:rowOff>152400</xdr:rowOff>
    </xdr:from>
    <xdr:to>
      <xdr:col>15</xdr:col>
      <xdr:colOff>228600</xdr:colOff>
      <xdr:row>56</xdr:row>
      <xdr:rowOff>38100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371475</xdr:colOff>
      <xdr:row>42</xdr:row>
      <xdr:rowOff>28575</xdr:rowOff>
    </xdr:from>
    <xdr:to>
      <xdr:col>23</xdr:col>
      <xdr:colOff>66675</xdr:colOff>
      <xdr:row>56</xdr:row>
      <xdr:rowOff>104775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247650</xdr:colOff>
      <xdr:row>42</xdr:row>
      <xdr:rowOff>38100</xdr:rowOff>
    </xdr:from>
    <xdr:to>
      <xdr:col>30</xdr:col>
      <xdr:colOff>552450</xdr:colOff>
      <xdr:row>56</xdr:row>
      <xdr:rowOff>114300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47625</xdr:colOff>
      <xdr:row>42</xdr:row>
      <xdr:rowOff>85725</xdr:rowOff>
    </xdr:from>
    <xdr:to>
      <xdr:col>38</xdr:col>
      <xdr:colOff>352425</xdr:colOff>
      <xdr:row>56</xdr:row>
      <xdr:rowOff>161925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447675</xdr:colOff>
      <xdr:row>42</xdr:row>
      <xdr:rowOff>142875</xdr:rowOff>
    </xdr:from>
    <xdr:to>
      <xdr:col>46</xdr:col>
      <xdr:colOff>142875</xdr:colOff>
      <xdr:row>57</xdr:row>
      <xdr:rowOff>28575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8</xdr:col>
      <xdr:colOff>0</xdr:colOff>
      <xdr:row>60</xdr:row>
      <xdr:rowOff>0</xdr:rowOff>
    </xdr:from>
    <xdr:to>
      <xdr:col>10</xdr:col>
      <xdr:colOff>142875</xdr:colOff>
      <xdr:row>62</xdr:row>
      <xdr:rowOff>161925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876800" y="11439525"/>
          <a:ext cx="1362075" cy="542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23</xdr:col>
      <xdr:colOff>590550</xdr:colOff>
      <xdr:row>58</xdr:row>
      <xdr:rowOff>133350</xdr:rowOff>
    </xdr:from>
    <xdr:to>
      <xdr:col>28</xdr:col>
      <xdr:colOff>188384</xdr:colOff>
      <xdr:row>60</xdr:row>
      <xdr:rowOff>187325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 l="9770" t="57914" r="69531" b="35912"/>
        <a:stretch>
          <a:fillRect/>
        </a:stretch>
      </xdr:blipFill>
      <xdr:spPr bwMode="auto">
        <a:xfrm>
          <a:off x="14611350" y="11182350"/>
          <a:ext cx="2645834" cy="444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32</xdr:col>
      <xdr:colOff>0</xdr:colOff>
      <xdr:row>60</xdr:row>
      <xdr:rowOff>0</xdr:rowOff>
    </xdr:from>
    <xdr:to>
      <xdr:col>34</xdr:col>
      <xdr:colOff>123825</xdr:colOff>
      <xdr:row>62</xdr:row>
      <xdr:rowOff>57150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9507200" y="11439525"/>
          <a:ext cx="1343025" cy="438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39</xdr:col>
      <xdr:colOff>0</xdr:colOff>
      <xdr:row>59</xdr:row>
      <xdr:rowOff>0</xdr:rowOff>
    </xdr:from>
    <xdr:to>
      <xdr:col>43</xdr:col>
      <xdr:colOff>6350</xdr:colOff>
      <xdr:row>60</xdr:row>
      <xdr:rowOff>75141</xdr:rowOff>
    </xdr:to>
    <xdr:pic>
      <xdr:nvPicPr>
        <xdr:cNvPr id="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 l="9856" t="68941" r="70028" b="27317"/>
        <a:stretch>
          <a:fillRect/>
        </a:stretch>
      </xdr:blipFill>
      <xdr:spPr bwMode="auto">
        <a:xfrm>
          <a:off x="23774400" y="11239500"/>
          <a:ext cx="2635250" cy="2751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0</xdr:colOff>
      <xdr:row>60</xdr:row>
      <xdr:rowOff>0</xdr:rowOff>
    </xdr:from>
    <xdr:to>
      <xdr:col>18</xdr:col>
      <xdr:colOff>342900</xdr:colOff>
      <xdr:row>61</xdr:row>
      <xdr:rowOff>66675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9753600" y="11439525"/>
          <a:ext cx="156210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47</xdr:col>
      <xdr:colOff>285750</xdr:colOff>
      <xdr:row>58</xdr:row>
      <xdr:rowOff>179916</xdr:rowOff>
    </xdr:from>
    <xdr:to>
      <xdr:col>49</xdr:col>
      <xdr:colOff>542925</xdr:colOff>
      <xdr:row>60</xdr:row>
      <xdr:rowOff>102658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9538083" y="11228916"/>
          <a:ext cx="1484842" cy="314325"/>
        </a:xfrm>
        <a:prstGeom prst="rect">
          <a:avLst/>
        </a:prstGeom>
        <a:noFill/>
      </xdr:spPr>
    </xdr:pic>
    <xdr:clientData/>
  </xdr:twoCellAnchor>
  <xdr:twoCellAnchor>
    <xdr:from>
      <xdr:col>47</xdr:col>
      <xdr:colOff>31751</xdr:colOff>
      <xdr:row>42</xdr:row>
      <xdr:rowOff>179918</xdr:rowOff>
    </xdr:from>
    <xdr:to>
      <xdr:col>54</xdr:col>
      <xdr:colOff>306917</xdr:colOff>
      <xdr:row>57</xdr:row>
      <xdr:rowOff>63501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5</xdr:row>
      <xdr:rowOff>161925</xdr:rowOff>
    </xdr:from>
    <xdr:to>
      <xdr:col>14</xdr:col>
      <xdr:colOff>180975</xdr:colOff>
      <xdr:row>20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1">
        <v>2</v>
      </c>
      <c r="B2" s="1">
        <v>0.40400000000000003</v>
      </c>
    </row>
    <row r="3" spans="1:2" x14ac:dyDescent="0.25">
      <c r="A3" s="1">
        <v>4</v>
      </c>
      <c r="B3" s="1">
        <v>0.93200000000000005</v>
      </c>
    </row>
    <row r="4" spans="1:2" x14ac:dyDescent="0.25">
      <c r="A4" s="1">
        <v>6</v>
      </c>
      <c r="B4" s="1">
        <v>1.3360000000000001</v>
      </c>
    </row>
    <row r="5" spans="1:2" x14ac:dyDescent="0.25">
      <c r="A5" s="1">
        <v>8</v>
      </c>
      <c r="B5" s="1">
        <v>1.7789999999999999</v>
      </c>
    </row>
    <row r="6" spans="1:2" x14ac:dyDescent="0.25">
      <c r="A6" s="1">
        <v>10</v>
      </c>
      <c r="B6" s="1">
        <v>2.1800000000000002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topLeftCell="A7" workbookViewId="0">
      <selection activeCell="M19" sqref="M19"/>
    </sheetView>
  </sheetViews>
  <sheetFormatPr defaultRowHeight="15" x14ac:dyDescent="0.25"/>
  <cols>
    <col min="1" max="1" width="8" customWidth="1"/>
    <col min="2" max="2" width="11.28515625" customWidth="1"/>
    <col min="9" max="9" width="11.42578125" customWidth="1"/>
    <col min="10" max="10" width="10.42578125" customWidth="1"/>
    <col min="15" max="15" width="10.42578125" customWidth="1"/>
  </cols>
  <sheetData>
    <row r="2" spans="1:17" x14ac:dyDescent="0.25">
      <c r="A2" t="s">
        <v>5</v>
      </c>
    </row>
    <row r="4" spans="1:17" x14ac:dyDescent="0.25">
      <c r="A4" s="2" t="s">
        <v>2</v>
      </c>
      <c r="B4" s="2" t="s">
        <v>3</v>
      </c>
      <c r="C4" s="2" t="s">
        <v>6</v>
      </c>
      <c r="D4" s="2" t="s">
        <v>8</v>
      </c>
      <c r="E4" s="2" t="s">
        <v>7</v>
      </c>
      <c r="F4" s="2" t="s">
        <v>4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3" t="s">
        <v>14</v>
      </c>
      <c r="N4" s="8"/>
      <c r="O4" s="8"/>
      <c r="P4" s="8"/>
      <c r="Q4" s="8"/>
    </row>
    <row r="5" spans="1:17" x14ac:dyDescent="0.25">
      <c r="A5" s="4">
        <v>3</v>
      </c>
      <c r="B5" s="4">
        <v>3.5000000000000003E-2</v>
      </c>
      <c r="C5" s="4">
        <v>2.1800000000000002</v>
      </c>
      <c r="D5" s="4">
        <f>((C5-0.006)/0.22)</f>
        <v>9.8818181818181827</v>
      </c>
      <c r="E5" s="4">
        <v>10</v>
      </c>
      <c r="F5" s="4">
        <f>((B5-0.006)/0.22)</f>
        <v>0.13181818181818183</v>
      </c>
      <c r="G5" s="4">
        <f>D5-F5</f>
        <v>9.75</v>
      </c>
      <c r="H5" s="4">
        <f>E5-F5</f>
        <v>9.8681818181818173</v>
      </c>
      <c r="I5" s="4">
        <f>(G5*0.02)/0.1</f>
        <v>1.95</v>
      </c>
      <c r="J5" s="4">
        <f>(H5*0.02)/0.1</f>
        <v>1.9736363636363634</v>
      </c>
      <c r="K5" s="4">
        <f>(G5/D5)*100</f>
        <v>98.666053357865678</v>
      </c>
      <c r="L5" s="4">
        <f>(H5/E5)*100</f>
        <v>98.681818181818173</v>
      </c>
      <c r="N5" s="6"/>
      <c r="O5" s="6"/>
      <c r="P5" s="6"/>
      <c r="Q5" s="6"/>
    </row>
    <row r="6" spans="1:17" x14ac:dyDescent="0.25">
      <c r="A6" s="4">
        <v>4</v>
      </c>
      <c r="B6" s="4">
        <v>0.03</v>
      </c>
      <c r="C6" s="4">
        <v>2.1800000000000002</v>
      </c>
      <c r="D6" s="4">
        <f t="shared" ref="D6:D11" si="0">((C6-0.006)/0.22)</f>
        <v>9.8818181818181827</v>
      </c>
      <c r="E6" s="4">
        <v>10</v>
      </c>
      <c r="F6" s="4">
        <f t="shared" ref="F6:F11" si="1">((B6-0.006)/0.22)</f>
        <v>0.1090909090909091</v>
      </c>
      <c r="G6" s="4">
        <f t="shared" ref="G6:G11" si="2">D6-F6</f>
        <v>9.7727272727272734</v>
      </c>
      <c r="H6" s="4">
        <f t="shared" ref="H6:H11" si="3">E6-F6</f>
        <v>9.8909090909090907</v>
      </c>
      <c r="I6" s="4">
        <f t="shared" ref="I6:J11" si="4">(G6*0.02)/0.1</f>
        <v>1.9545454545454546</v>
      </c>
      <c r="J6" s="4">
        <f t="shared" si="4"/>
        <v>1.978181818181818</v>
      </c>
      <c r="K6" s="4">
        <f t="shared" ref="K6:K11" si="5">(G6/D6)*100</f>
        <v>98.896044158233664</v>
      </c>
      <c r="L6" s="4">
        <f t="shared" ref="L6:L11" si="6">(H6/E6)*100</f>
        <v>98.909090909090907</v>
      </c>
      <c r="N6" s="6"/>
      <c r="O6" s="6"/>
      <c r="P6" s="6"/>
      <c r="Q6" s="6"/>
    </row>
    <row r="7" spans="1:17" x14ac:dyDescent="0.25">
      <c r="A7" s="4">
        <v>5</v>
      </c>
      <c r="B7" s="4">
        <v>2.7E-2</v>
      </c>
      <c r="C7" s="4">
        <v>2.1800000000000002</v>
      </c>
      <c r="D7" s="4">
        <f t="shared" si="0"/>
        <v>9.8818181818181827</v>
      </c>
      <c r="E7" s="4">
        <v>10</v>
      </c>
      <c r="F7" s="4">
        <f t="shared" si="1"/>
        <v>9.5454545454545445E-2</v>
      </c>
      <c r="G7" s="4">
        <f t="shared" si="2"/>
        <v>9.786363636363637</v>
      </c>
      <c r="H7" s="4">
        <f t="shared" si="3"/>
        <v>9.9045454545454543</v>
      </c>
      <c r="I7" s="4">
        <f t="shared" si="4"/>
        <v>1.9572727272727275</v>
      </c>
      <c r="J7" s="4">
        <f t="shared" si="4"/>
        <v>1.980909090909091</v>
      </c>
      <c r="K7" s="4">
        <f t="shared" si="5"/>
        <v>99.034038638454462</v>
      </c>
      <c r="L7" s="4">
        <f t="shared" si="6"/>
        <v>99.045454545454547</v>
      </c>
      <c r="N7" s="6"/>
      <c r="O7" s="6"/>
      <c r="P7" s="6"/>
      <c r="Q7" s="6"/>
    </row>
    <row r="8" spans="1:17" x14ac:dyDescent="0.25">
      <c r="A8" s="4">
        <v>6</v>
      </c>
      <c r="B8" s="4">
        <v>0.02</v>
      </c>
      <c r="C8" s="4">
        <v>2.1800000000000002</v>
      </c>
      <c r="D8" s="4">
        <f t="shared" si="0"/>
        <v>9.8818181818181827</v>
      </c>
      <c r="E8" s="4">
        <v>10</v>
      </c>
      <c r="F8" s="4">
        <f t="shared" si="1"/>
        <v>6.3636363636363644E-2</v>
      </c>
      <c r="G8" s="4">
        <f t="shared" si="2"/>
        <v>9.8181818181818183</v>
      </c>
      <c r="H8" s="4">
        <f t="shared" si="3"/>
        <v>9.9363636363636356</v>
      </c>
      <c r="I8" s="4">
        <f t="shared" si="4"/>
        <v>1.9636363636363636</v>
      </c>
      <c r="J8" s="4">
        <f t="shared" si="4"/>
        <v>1.9872727272727271</v>
      </c>
      <c r="K8" s="4">
        <f t="shared" si="5"/>
        <v>99.356025758969636</v>
      </c>
      <c r="L8" s="4">
        <f t="shared" si="6"/>
        <v>99.36363636363636</v>
      </c>
      <c r="N8" s="6"/>
      <c r="O8" s="6"/>
      <c r="P8" s="6"/>
      <c r="Q8" s="6"/>
    </row>
    <row r="9" spans="1:17" x14ac:dyDescent="0.25">
      <c r="A9" s="4">
        <v>7</v>
      </c>
      <c r="B9" s="4">
        <v>2.4E-2</v>
      </c>
      <c r="C9" s="4">
        <v>2.1800000000000002</v>
      </c>
      <c r="D9" s="4">
        <f t="shared" si="0"/>
        <v>9.8818181818181827</v>
      </c>
      <c r="E9" s="4">
        <v>10</v>
      </c>
      <c r="F9" s="4">
        <f t="shared" si="1"/>
        <v>8.1818181818181832E-2</v>
      </c>
      <c r="G9" s="4">
        <f t="shared" si="2"/>
        <v>9.8000000000000007</v>
      </c>
      <c r="H9" s="4">
        <f t="shared" si="3"/>
        <v>9.918181818181818</v>
      </c>
      <c r="I9" s="4">
        <f t="shared" si="4"/>
        <v>1.96</v>
      </c>
      <c r="J9" s="4">
        <f t="shared" si="4"/>
        <v>1.9836363636363634</v>
      </c>
      <c r="K9" s="4">
        <f t="shared" si="5"/>
        <v>99.172033118675245</v>
      </c>
      <c r="L9" s="4">
        <f t="shared" si="6"/>
        <v>99.181818181818187</v>
      </c>
      <c r="N9" s="6"/>
      <c r="O9" s="6"/>
      <c r="P9" s="6"/>
      <c r="Q9" s="6"/>
    </row>
    <row r="10" spans="1:17" x14ac:dyDescent="0.25">
      <c r="A10" s="4">
        <v>8</v>
      </c>
      <c r="B10" s="4">
        <v>2.5000000000000001E-2</v>
      </c>
      <c r="C10" s="4">
        <v>2.1800000000000002</v>
      </c>
      <c r="D10" s="4">
        <f t="shared" si="0"/>
        <v>9.8818181818181827</v>
      </c>
      <c r="E10" s="4">
        <v>10</v>
      </c>
      <c r="F10" s="4">
        <f t="shared" si="1"/>
        <v>8.6363636363636379E-2</v>
      </c>
      <c r="G10" s="4">
        <f t="shared" si="2"/>
        <v>9.7954545454545467</v>
      </c>
      <c r="H10" s="4">
        <f t="shared" si="3"/>
        <v>9.913636363636364</v>
      </c>
      <c r="I10" s="4">
        <f t="shared" si="4"/>
        <v>1.9590909090909094</v>
      </c>
      <c r="J10" s="4">
        <f t="shared" si="4"/>
        <v>1.9827272727272729</v>
      </c>
      <c r="K10" s="4">
        <f t="shared" si="5"/>
        <v>99.126034958601664</v>
      </c>
      <c r="L10" s="4">
        <f t="shared" si="6"/>
        <v>99.13636363636364</v>
      </c>
      <c r="N10" s="6"/>
      <c r="O10" s="6"/>
      <c r="P10" s="6"/>
      <c r="Q10" s="6"/>
    </row>
    <row r="11" spans="1:17" x14ac:dyDescent="0.25">
      <c r="A11" s="4">
        <v>9</v>
      </c>
      <c r="B11" s="4">
        <v>2.5000000000000001E-2</v>
      </c>
      <c r="C11" s="4">
        <v>2.1800000000000002</v>
      </c>
      <c r="D11" s="4">
        <f t="shared" si="0"/>
        <v>9.8818181818181827</v>
      </c>
      <c r="E11" s="4">
        <v>10</v>
      </c>
      <c r="F11" s="4">
        <f t="shared" si="1"/>
        <v>8.6363636363636379E-2</v>
      </c>
      <c r="G11" s="4">
        <f t="shared" si="2"/>
        <v>9.7954545454545467</v>
      </c>
      <c r="H11" s="4">
        <f t="shared" si="3"/>
        <v>9.913636363636364</v>
      </c>
      <c r="I11" s="4">
        <f t="shared" si="4"/>
        <v>1.9590909090909094</v>
      </c>
      <c r="J11" s="4">
        <f t="shared" si="4"/>
        <v>1.9827272727272729</v>
      </c>
      <c r="K11" s="4">
        <f t="shared" si="5"/>
        <v>99.126034958601664</v>
      </c>
      <c r="L11" s="4">
        <f t="shared" si="6"/>
        <v>99.13636363636364</v>
      </c>
      <c r="N11" s="6"/>
      <c r="O11" s="6"/>
      <c r="P11" s="6"/>
      <c r="Q11" s="6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N12" s="6"/>
      <c r="O12" s="6"/>
      <c r="P12" s="6"/>
      <c r="Q12" s="6"/>
    </row>
    <row r="17" spans="11:12" x14ac:dyDescent="0.25">
      <c r="K17" s="6"/>
      <c r="L17" s="7"/>
    </row>
    <row r="18" spans="11:12" x14ac:dyDescent="0.25">
      <c r="K18" s="6"/>
      <c r="L18" s="7"/>
    </row>
    <row r="19" spans="11:12" x14ac:dyDescent="0.25">
      <c r="K19" s="6"/>
      <c r="L19" s="7"/>
    </row>
    <row r="20" spans="11:12" x14ac:dyDescent="0.25">
      <c r="K20" s="6"/>
      <c r="L20" s="7"/>
    </row>
    <row r="21" spans="11:12" x14ac:dyDescent="0.25">
      <c r="K21" s="6"/>
      <c r="L21" s="7"/>
    </row>
    <row r="22" spans="11:12" x14ac:dyDescent="0.25">
      <c r="K22" s="6"/>
      <c r="L22" s="7"/>
    </row>
    <row r="23" spans="11:12" x14ac:dyDescent="0.25">
      <c r="K23" s="6"/>
      <c r="L23" s="7"/>
    </row>
    <row r="24" spans="11:12" x14ac:dyDescent="0.25">
      <c r="K24" s="6"/>
      <c r="L24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workbookViewId="0">
      <selection activeCell="AL32" sqref="AL32"/>
    </sheetView>
  </sheetViews>
  <sheetFormatPr defaultRowHeight="15" x14ac:dyDescent="0.25"/>
  <cols>
    <col min="11" max="11" width="10" bestFit="1" customWidth="1"/>
  </cols>
  <sheetData>
    <row r="1" spans="1:18" x14ac:dyDescent="0.25">
      <c r="A1" t="s">
        <v>5</v>
      </c>
    </row>
    <row r="2" spans="1:18" x14ac:dyDescent="0.25">
      <c r="A2" s="9" t="s">
        <v>15</v>
      </c>
      <c r="B2" s="9" t="s">
        <v>16</v>
      </c>
      <c r="C2" s="9" t="s">
        <v>17</v>
      </c>
      <c r="D2" s="9" t="s">
        <v>18</v>
      </c>
      <c r="E2" s="9" t="s">
        <v>19</v>
      </c>
      <c r="F2" s="9" t="s">
        <v>8</v>
      </c>
      <c r="G2" s="9" t="s">
        <v>20</v>
      </c>
      <c r="H2" s="9" t="s">
        <v>29</v>
      </c>
      <c r="I2" s="9" t="s">
        <v>23</v>
      </c>
      <c r="J2" s="2" t="s">
        <v>32</v>
      </c>
      <c r="K2" s="2" t="s">
        <v>33</v>
      </c>
      <c r="L2" s="2" t="s">
        <v>34</v>
      </c>
      <c r="M2" s="2" t="s">
        <v>35</v>
      </c>
      <c r="N2" s="3" t="s">
        <v>36</v>
      </c>
      <c r="O2" s="3" t="s">
        <v>41</v>
      </c>
    </row>
    <row r="3" spans="1:18" x14ac:dyDescent="0.25">
      <c r="A3" s="1">
        <v>5</v>
      </c>
      <c r="B3" s="1">
        <v>1.6E-2</v>
      </c>
      <c r="C3" s="1">
        <v>2.1779999999999999</v>
      </c>
      <c r="D3" s="1">
        <f>((C3-0.006)/0.22)</f>
        <v>9.872727272727273</v>
      </c>
      <c r="E3" s="1">
        <f>((B3-0.006)/0.22)</f>
        <v>4.5454545454545456E-2</v>
      </c>
      <c r="F3" s="1">
        <f>D3-E3</f>
        <v>9.827272727272728</v>
      </c>
      <c r="G3" s="1">
        <f>((F3*0.02)/0.1)</f>
        <v>1.9654545454545458</v>
      </c>
      <c r="H3" s="1">
        <f>(F3/D3)*100</f>
        <v>99.539594843462254</v>
      </c>
      <c r="I3" s="1">
        <f>((D3*0.02)/0.1)</f>
        <v>1.9745454545454546</v>
      </c>
      <c r="J3" s="4">
        <f>LN(F3)</f>
        <v>2.285161451846792</v>
      </c>
      <c r="K3" s="4">
        <f>1/F3</f>
        <v>0.10175763182238667</v>
      </c>
      <c r="L3" s="4">
        <f>LN(I3-G3)</f>
        <v>-4.7004803657924468</v>
      </c>
      <c r="M3" s="4">
        <f>A3/G3</f>
        <v>2.5439407955596667</v>
      </c>
      <c r="N3" s="4">
        <f>LN(A3)</f>
        <v>1.6094379124341003</v>
      </c>
      <c r="O3" s="4">
        <f>SQRT(A3)</f>
        <v>2.2360679774997898</v>
      </c>
    </row>
    <row r="4" spans="1:18" x14ac:dyDescent="0.25">
      <c r="A4" s="1">
        <v>10</v>
      </c>
      <c r="B4" s="1">
        <v>1.6E-2</v>
      </c>
      <c r="C4" s="1">
        <v>2.1779999999999999</v>
      </c>
      <c r="D4" s="1">
        <f t="shared" ref="D4:D10" si="0">((C4-0.006)/0.22)</f>
        <v>9.872727272727273</v>
      </c>
      <c r="E4" s="1">
        <f t="shared" ref="E4:E10" si="1">((B4-0.006)/0.22)</f>
        <v>4.5454545454545456E-2</v>
      </c>
      <c r="F4" s="1">
        <f t="shared" ref="F4:F10" si="2">D4-E4</f>
        <v>9.827272727272728</v>
      </c>
      <c r="G4" s="1">
        <f t="shared" ref="G4:G10" si="3">((F4*0.02)/0.1)</f>
        <v>1.9654545454545458</v>
      </c>
      <c r="H4" s="1">
        <f t="shared" ref="H4:H10" si="4">(F4/D4)*100</f>
        <v>99.539594843462254</v>
      </c>
      <c r="I4" s="1">
        <f t="shared" ref="I4:I10" si="5">((D4*0.02)/0.1)</f>
        <v>1.9745454545454546</v>
      </c>
      <c r="J4" s="4">
        <f t="shared" ref="J4:J10" si="6">LN(F4)</f>
        <v>2.285161451846792</v>
      </c>
      <c r="K4" s="4">
        <f t="shared" ref="K4:K10" si="7">1/F4</f>
        <v>0.10175763182238667</v>
      </c>
      <c r="L4" s="4">
        <f t="shared" ref="L4:L10" si="8">LN(I4-G4)</f>
        <v>-4.7004803657924468</v>
      </c>
      <c r="M4" s="4">
        <f t="shared" ref="M4:M10" si="9">A4/G4</f>
        <v>5.0878815911193334</v>
      </c>
      <c r="N4" s="4">
        <f t="shared" ref="N4:N10" si="10">LN(A4)</f>
        <v>2.3025850929940459</v>
      </c>
      <c r="O4" s="4">
        <f t="shared" ref="O4:O10" si="11">SQRT(A4)</f>
        <v>3.1622776601683795</v>
      </c>
    </row>
    <row r="5" spans="1:18" x14ac:dyDescent="0.25">
      <c r="A5" s="1">
        <v>20</v>
      </c>
      <c r="B5" s="1">
        <v>1.4999999999999999E-2</v>
      </c>
      <c r="C5" s="1">
        <v>2.1779999999999999</v>
      </c>
      <c r="D5" s="1">
        <f t="shared" si="0"/>
        <v>9.872727272727273</v>
      </c>
      <c r="E5" s="1">
        <f t="shared" si="1"/>
        <v>4.0909090909090909E-2</v>
      </c>
      <c r="F5" s="1">
        <f t="shared" si="2"/>
        <v>9.831818181818182</v>
      </c>
      <c r="G5" s="1">
        <f t="shared" si="3"/>
        <v>1.9663636363636363</v>
      </c>
      <c r="H5" s="1">
        <f t="shared" si="4"/>
        <v>99.585635359116026</v>
      </c>
      <c r="I5" s="1">
        <f t="shared" si="5"/>
        <v>1.9745454545454546</v>
      </c>
      <c r="J5" s="4">
        <f t="shared" si="6"/>
        <v>2.2856238796006974</v>
      </c>
      <c r="K5" s="4">
        <f t="shared" si="7"/>
        <v>0.10171058714748035</v>
      </c>
      <c r="L5" s="4">
        <f t="shared" si="8"/>
        <v>-4.8058408814502291</v>
      </c>
      <c r="M5" s="4">
        <f t="shared" si="9"/>
        <v>10.171058714748035</v>
      </c>
      <c r="N5" s="4">
        <f t="shared" si="10"/>
        <v>2.9957322735539909</v>
      </c>
      <c r="O5" s="4">
        <f t="shared" si="11"/>
        <v>4.4721359549995796</v>
      </c>
    </row>
    <row r="6" spans="1:18" x14ac:dyDescent="0.25">
      <c r="A6" s="1">
        <v>30</v>
      </c>
      <c r="B6" s="1">
        <v>1.2999999999999999E-2</v>
      </c>
      <c r="C6" s="1">
        <v>2.1779999999999999</v>
      </c>
      <c r="D6" s="1">
        <f t="shared" si="0"/>
        <v>9.872727272727273</v>
      </c>
      <c r="E6" s="1">
        <f t="shared" si="1"/>
        <v>3.1818181818181815E-2</v>
      </c>
      <c r="F6" s="1">
        <f t="shared" si="2"/>
        <v>9.8409090909090917</v>
      </c>
      <c r="G6" s="1">
        <f t="shared" si="3"/>
        <v>1.9681818181818183</v>
      </c>
      <c r="H6" s="1">
        <f t="shared" si="4"/>
        <v>99.677716390423569</v>
      </c>
      <c r="I6" s="1">
        <f t="shared" si="5"/>
        <v>1.9745454545454546</v>
      </c>
      <c r="J6" s="4">
        <f t="shared" si="6"/>
        <v>2.2865480940842287</v>
      </c>
      <c r="K6" s="4">
        <f t="shared" si="7"/>
        <v>0.10161662817551963</v>
      </c>
      <c r="L6" s="4">
        <f t="shared" si="8"/>
        <v>-5.0571553097311508</v>
      </c>
      <c r="M6" s="4">
        <f t="shared" si="9"/>
        <v>15.242494226327944</v>
      </c>
      <c r="N6" s="4">
        <f t="shared" si="10"/>
        <v>3.4011973816621555</v>
      </c>
      <c r="O6" s="4">
        <f t="shared" si="11"/>
        <v>5.4772255750516612</v>
      </c>
    </row>
    <row r="7" spans="1:18" x14ac:dyDescent="0.25">
      <c r="A7" s="1">
        <v>45</v>
      </c>
      <c r="B7" s="1">
        <v>1.7000000000000001E-2</v>
      </c>
      <c r="C7" s="1">
        <v>2.1779999999999999</v>
      </c>
      <c r="D7" s="1">
        <f t="shared" si="0"/>
        <v>9.872727272727273</v>
      </c>
      <c r="E7" s="1">
        <f t="shared" si="1"/>
        <v>0.05</v>
      </c>
      <c r="F7" s="1">
        <f t="shared" si="2"/>
        <v>9.8227272727272723</v>
      </c>
      <c r="G7" s="1">
        <f t="shared" si="3"/>
        <v>1.9645454545454544</v>
      </c>
      <c r="H7" s="1">
        <f t="shared" si="4"/>
        <v>99.493554327808468</v>
      </c>
      <c r="I7" s="1">
        <f t="shared" si="5"/>
        <v>1.9745454545454546</v>
      </c>
      <c r="J7" s="4">
        <f t="shared" si="6"/>
        <v>2.2846988101545245</v>
      </c>
      <c r="K7" s="4">
        <f t="shared" si="7"/>
        <v>0.1018047200370199</v>
      </c>
      <c r="L7" s="4">
        <f t="shared" si="8"/>
        <v>-4.6051701859880687</v>
      </c>
      <c r="M7" s="4">
        <f t="shared" si="9"/>
        <v>22.906062008329478</v>
      </c>
      <c r="N7" s="4">
        <f t="shared" si="10"/>
        <v>3.8066624897703196</v>
      </c>
      <c r="O7" s="4">
        <f t="shared" si="11"/>
        <v>6.7082039324993694</v>
      </c>
    </row>
    <row r="8" spans="1:18" x14ac:dyDescent="0.25">
      <c r="A8" s="1">
        <v>60</v>
      </c>
      <c r="B8" s="1">
        <v>1.7000000000000001E-2</v>
      </c>
      <c r="C8" s="1">
        <v>2.1779999999999999</v>
      </c>
      <c r="D8" s="1">
        <f t="shared" si="0"/>
        <v>9.872727272727273</v>
      </c>
      <c r="E8" s="1">
        <f t="shared" si="1"/>
        <v>0.05</v>
      </c>
      <c r="F8" s="1">
        <f t="shared" si="2"/>
        <v>9.8227272727272723</v>
      </c>
      <c r="G8" s="1">
        <f t="shared" si="3"/>
        <v>1.9645454545454544</v>
      </c>
      <c r="H8" s="1">
        <f t="shared" si="4"/>
        <v>99.493554327808468</v>
      </c>
      <c r="I8" s="1">
        <f t="shared" si="5"/>
        <v>1.9745454545454546</v>
      </c>
      <c r="J8" s="4">
        <f t="shared" si="6"/>
        <v>2.2846988101545245</v>
      </c>
      <c r="K8" s="4">
        <f t="shared" si="7"/>
        <v>0.1018047200370199</v>
      </c>
      <c r="L8" s="4">
        <f t="shared" si="8"/>
        <v>-4.6051701859880687</v>
      </c>
      <c r="M8" s="4">
        <f t="shared" si="9"/>
        <v>30.541416011105973</v>
      </c>
      <c r="N8" s="4">
        <f t="shared" si="10"/>
        <v>4.0943445622221004</v>
      </c>
      <c r="O8" s="4">
        <f t="shared" si="11"/>
        <v>7.745966692414834</v>
      </c>
    </row>
    <row r="9" spans="1:18" ht="20.25" x14ac:dyDescent="0.3">
      <c r="A9" s="1">
        <v>75</v>
      </c>
      <c r="B9" s="1">
        <v>1.7999999999999999E-2</v>
      </c>
      <c r="C9" s="1">
        <v>2.1779999999999999</v>
      </c>
      <c r="D9" s="1">
        <f t="shared" si="0"/>
        <v>9.872727272727273</v>
      </c>
      <c r="E9" s="1">
        <f t="shared" si="1"/>
        <v>5.4545454545454536E-2</v>
      </c>
      <c r="F9" s="1">
        <f t="shared" si="2"/>
        <v>9.8181818181818183</v>
      </c>
      <c r="G9" s="1">
        <f t="shared" si="3"/>
        <v>1.9636363636363636</v>
      </c>
      <c r="H9" s="1">
        <f t="shared" si="4"/>
        <v>99.447513812154696</v>
      </c>
      <c r="I9" s="1">
        <f t="shared" si="5"/>
        <v>1.9745454545454546</v>
      </c>
      <c r="J9" s="4">
        <f t="shared" si="6"/>
        <v>2.2842359543258492</v>
      </c>
      <c r="K9" s="4">
        <f t="shared" si="7"/>
        <v>0.10185185185185185</v>
      </c>
      <c r="L9" s="4">
        <f t="shared" si="8"/>
        <v>-4.5181588089984555</v>
      </c>
      <c r="M9" s="4">
        <f t="shared" si="9"/>
        <v>38.194444444444443</v>
      </c>
      <c r="N9" s="4">
        <f t="shared" si="10"/>
        <v>4.3174881135363101</v>
      </c>
      <c r="O9" s="4">
        <f t="shared" si="11"/>
        <v>8.6602540378443873</v>
      </c>
      <c r="R9" s="12" t="s">
        <v>1</v>
      </c>
    </row>
    <row r="10" spans="1:18" x14ac:dyDescent="0.25">
      <c r="A10" s="1">
        <v>90</v>
      </c>
      <c r="B10" s="1">
        <v>1.7999999999999999E-2</v>
      </c>
      <c r="C10" s="1">
        <v>2.1779999999999999</v>
      </c>
      <c r="D10" s="1">
        <f t="shared" si="0"/>
        <v>9.872727272727273</v>
      </c>
      <c r="E10" s="1">
        <f t="shared" si="1"/>
        <v>5.4545454545454536E-2</v>
      </c>
      <c r="F10" s="1">
        <f t="shared" si="2"/>
        <v>9.8181818181818183</v>
      </c>
      <c r="G10" s="1">
        <f t="shared" si="3"/>
        <v>1.9636363636363636</v>
      </c>
      <c r="H10" s="1">
        <f t="shared" si="4"/>
        <v>99.447513812154696</v>
      </c>
      <c r="I10" s="1">
        <f t="shared" si="5"/>
        <v>1.9745454545454546</v>
      </c>
      <c r="J10" s="4">
        <f t="shared" si="6"/>
        <v>2.2842359543258492</v>
      </c>
      <c r="K10" s="4">
        <f t="shared" si="7"/>
        <v>0.10185185185185185</v>
      </c>
      <c r="L10" s="4">
        <f t="shared" si="8"/>
        <v>-4.5181588089984555</v>
      </c>
      <c r="M10" s="4">
        <f t="shared" si="9"/>
        <v>45.833333333333336</v>
      </c>
      <c r="N10" s="4">
        <f t="shared" si="10"/>
        <v>4.499809670330265</v>
      </c>
      <c r="O10" s="4">
        <f t="shared" si="11"/>
        <v>9.4868329805051381</v>
      </c>
    </row>
    <row r="11" spans="1:18" x14ac:dyDescent="0.25">
      <c r="A11" s="1"/>
      <c r="B11" s="1"/>
      <c r="C11" s="1"/>
      <c r="D11" s="1"/>
      <c r="E11" s="1"/>
      <c r="F11" s="1"/>
      <c r="G11" s="1"/>
      <c r="H11" s="1"/>
      <c r="I11" s="1"/>
      <c r="J11" s="4"/>
      <c r="K11" s="4"/>
      <c r="L11" s="4"/>
      <c r="M11" s="4"/>
      <c r="N11" s="4"/>
      <c r="O11" s="4"/>
    </row>
    <row r="32" spans="9:33" x14ac:dyDescent="0.25">
      <c r="I32" t="s">
        <v>148</v>
      </c>
      <c r="Q32" t="s">
        <v>49</v>
      </c>
      <c r="Y32" t="s">
        <v>151</v>
      </c>
      <c r="AG32" t="s">
        <v>66</v>
      </c>
    </row>
    <row r="33" spans="9:35" x14ac:dyDescent="0.25">
      <c r="I33" s="13" t="s">
        <v>42</v>
      </c>
      <c r="J33" s="13" t="s">
        <v>43</v>
      </c>
      <c r="K33" s="13" t="s">
        <v>150</v>
      </c>
      <c r="Q33" t="s">
        <v>48</v>
      </c>
      <c r="R33" t="s">
        <v>43</v>
      </c>
      <c r="S33">
        <v>0.48899999999999999</v>
      </c>
      <c r="Y33" t="s">
        <v>59</v>
      </c>
      <c r="Z33" t="s">
        <v>43</v>
      </c>
      <c r="AA33">
        <v>308</v>
      </c>
    </row>
    <row r="34" spans="9:35" x14ac:dyDescent="0.25">
      <c r="I34" t="s">
        <v>44</v>
      </c>
      <c r="J34" t="s">
        <v>43</v>
      </c>
      <c r="K34" s="21">
        <v>2919</v>
      </c>
      <c r="Q34" t="s">
        <v>45</v>
      </c>
      <c r="R34" t="s">
        <v>43</v>
      </c>
      <c r="S34" t="s">
        <v>50</v>
      </c>
      <c r="Y34" s="13" t="s">
        <v>60</v>
      </c>
      <c r="Z34" s="13" t="s">
        <v>43</v>
      </c>
      <c r="AA34" s="13">
        <f>1/308</f>
        <v>3.246753246753247E-3</v>
      </c>
      <c r="AG34" s="13" t="s">
        <v>67</v>
      </c>
      <c r="AH34" s="13" t="s">
        <v>43</v>
      </c>
      <c r="AI34" s="13">
        <v>896.6</v>
      </c>
    </row>
    <row r="35" spans="9:35" x14ac:dyDescent="0.25">
      <c r="I35" t="s">
        <v>45</v>
      </c>
      <c r="J35" t="s">
        <v>43</v>
      </c>
      <c r="K35" t="s">
        <v>46</v>
      </c>
      <c r="Q35" s="13" t="s">
        <v>45</v>
      </c>
      <c r="R35" s="13" t="s">
        <v>43</v>
      </c>
      <c r="S35" s="13">
        <f>1/0.489</f>
        <v>2.0449897750511248</v>
      </c>
      <c r="Y35" t="s">
        <v>61</v>
      </c>
      <c r="Z35" t="s">
        <v>43</v>
      </c>
      <c r="AA35" t="s">
        <v>152</v>
      </c>
      <c r="AG35" s="13" t="s">
        <v>0</v>
      </c>
      <c r="AH35" s="13" t="s">
        <v>43</v>
      </c>
      <c r="AI35" s="13">
        <v>1826</v>
      </c>
    </row>
    <row r="36" spans="9:35" x14ac:dyDescent="0.25">
      <c r="I36" s="13" t="s">
        <v>45</v>
      </c>
      <c r="J36" s="13" t="s">
        <v>43</v>
      </c>
      <c r="K36" s="13">
        <f>EXP((2.919))</f>
        <v>18.522755439841411</v>
      </c>
      <c r="Q36">
        <v>3.0000000000000001E-3</v>
      </c>
      <c r="R36" t="s">
        <v>43</v>
      </c>
      <c r="S36" t="s">
        <v>51</v>
      </c>
      <c r="Y36" t="s">
        <v>61</v>
      </c>
      <c r="Z36" t="s">
        <v>43</v>
      </c>
      <c r="AA36">
        <f>634.3/308</f>
        <v>2.0594155844155844</v>
      </c>
      <c r="AG36" s="13" t="s">
        <v>47</v>
      </c>
      <c r="AH36" s="13" t="s">
        <v>43</v>
      </c>
      <c r="AI36" s="13">
        <v>0.253</v>
      </c>
    </row>
    <row r="37" spans="9:35" x14ac:dyDescent="0.25">
      <c r="I37" s="13" t="s">
        <v>47</v>
      </c>
      <c r="J37" s="13" t="s">
        <v>43</v>
      </c>
      <c r="K37" s="13" t="s">
        <v>149</v>
      </c>
      <c r="Q37">
        <v>3.0000000000000001E-3</v>
      </c>
      <c r="R37" t="s">
        <v>43</v>
      </c>
      <c r="S37" t="s">
        <v>52</v>
      </c>
      <c r="U37">
        <f>2.04499^2</f>
        <v>4.1819841000999993</v>
      </c>
      <c r="Y37" t="s">
        <v>61</v>
      </c>
      <c r="Z37" t="s">
        <v>43</v>
      </c>
      <c r="AA37" t="s">
        <v>62</v>
      </c>
    </row>
    <row r="38" spans="9:35" x14ac:dyDescent="0.25">
      <c r="Q38">
        <v>3.0000000000000001E-3</v>
      </c>
      <c r="R38" t="s">
        <v>43</v>
      </c>
      <c r="S38" t="s">
        <v>53</v>
      </c>
      <c r="Y38">
        <f>634.3/308</f>
        <v>2.0594155844155844</v>
      </c>
      <c r="Z38" t="s">
        <v>43</v>
      </c>
      <c r="AA38" t="s">
        <v>153</v>
      </c>
      <c r="AC38">
        <f>LN(0.003247)</f>
        <v>-5.7300237858614285</v>
      </c>
    </row>
    <row r="39" spans="9:35" x14ac:dyDescent="0.25">
      <c r="Q39" t="s">
        <v>54</v>
      </c>
      <c r="R39" t="s">
        <v>43</v>
      </c>
      <c r="S39" t="s">
        <v>55</v>
      </c>
      <c r="Y39" t="s">
        <v>63</v>
      </c>
      <c r="Z39">
        <f>2.059416 - (-5.73002)</f>
        <v>7.7894360000000002</v>
      </c>
    </row>
    <row r="40" spans="9:35" x14ac:dyDescent="0.25">
      <c r="Q40" t="s">
        <v>54</v>
      </c>
      <c r="R40" t="s">
        <v>43</v>
      </c>
      <c r="S40">
        <f>1/0.003</f>
        <v>333.33333333333331</v>
      </c>
      <c r="Y40" t="s">
        <v>64</v>
      </c>
      <c r="Z40" t="s">
        <v>43</v>
      </c>
      <c r="AA40">
        <v>7.7894360000000002</v>
      </c>
    </row>
    <row r="41" spans="9:35" x14ac:dyDescent="0.25">
      <c r="Q41" t="s">
        <v>56</v>
      </c>
      <c r="R41" t="s">
        <v>43</v>
      </c>
      <c r="S41" t="s">
        <v>58</v>
      </c>
      <c r="Y41" t="s">
        <v>65</v>
      </c>
      <c r="Z41" t="s">
        <v>43</v>
      </c>
      <c r="AA41" t="s">
        <v>154</v>
      </c>
    </row>
    <row r="42" spans="9:35" x14ac:dyDescent="0.25">
      <c r="Q42" s="13" t="s">
        <v>57</v>
      </c>
      <c r="R42" s="13" t="s">
        <v>43</v>
      </c>
      <c r="S42" s="13">
        <f>333.3333/4.181984</f>
        <v>79.70697640163138</v>
      </c>
      <c r="Y42" s="13" t="s">
        <v>65</v>
      </c>
      <c r="Z42" s="13" t="s">
        <v>43</v>
      </c>
      <c r="AA42" s="13">
        <f>EXP(AA40)</f>
        <v>2414.9551633169071</v>
      </c>
    </row>
    <row r="43" spans="9:35" x14ac:dyDescent="0.25">
      <c r="Q43" s="13" t="s">
        <v>47</v>
      </c>
      <c r="R43" s="13" t="s">
        <v>43</v>
      </c>
      <c r="S43" s="13">
        <v>1</v>
      </c>
      <c r="Y43" s="13" t="s">
        <v>47</v>
      </c>
      <c r="Z43" s="13" t="s">
        <v>43</v>
      </c>
      <c r="AA43" s="13">
        <v>0.53300000000000003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74"/>
  <sheetViews>
    <sheetView tabSelected="1" topLeftCell="A7" zoomScale="90" zoomScaleNormal="90" workbookViewId="0">
      <selection activeCell="M18" sqref="M18"/>
    </sheetView>
  </sheetViews>
  <sheetFormatPr defaultRowHeight="15" x14ac:dyDescent="0.25"/>
  <cols>
    <col min="19" max="19" width="12.42578125" bestFit="1" customWidth="1"/>
    <col min="41" max="41" width="12" bestFit="1" customWidth="1"/>
  </cols>
  <sheetData>
    <row r="2" spans="1:19" x14ac:dyDescent="0.25">
      <c r="A2" t="s">
        <v>5</v>
      </c>
    </row>
    <row r="3" spans="1:19" x14ac:dyDescent="0.25">
      <c r="B3" s="9" t="s">
        <v>0</v>
      </c>
      <c r="C3" s="9" t="s">
        <v>30</v>
      </c>
      <c r="D3" s="9" t="s">
        <v>21</v>
      </c>
      <c r="E3" s="9" t="s">
        <v>31</v>
      </c>
      <c r="F3" s="9" t="s">
        <v>22</v>
      </c>
      <c r="G3" s="9" t="s">
        <v>8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5"/>
      <c r="O3" s="14" t="s">
        <v>81</v>
      </c>
    </row>
    <row r="4" spans="1:19" x14ac:dyDescent="0.25">
      <c r="B4" s="1">
        <v>5</v>
      </c>
      <c r="C4" s="1">
        <v>2.1800000000000002</v>
      </c>
      <c r="D4" s="1">
        <v>1.2E-2</v>
      </c>
      <c r="E4" s="1">
        <v>5</v>
      </c>
      <c r="F4" s="1">
        <f>((D4-0.006)/0.22)</f>
        <v>2.7272727272727275E-2</v>
      </c>
      <c r="G4" s="1">
        <f>E4-F4</f>
        <v>4.9727272727272727</v>
      </c>
      <c r="H4" s="1">
        <f>((G4*0.02)/0.1)</f>
        <v>0.99454545454545462</v>
      </c>
      <c r="I4" s="1">
        <f>(G4/E4)*100</f>
        <v>99.454545454545453</v>
      </c>
      <c r="J4" s="1">
        <f>1/G4</f>
        <v>0.20109689213893966</v>
      </c>
      <c r="K4" s="1">
        <f>1/H4</f>
        <v>1.0054844606946982</v>
      </c>
      <c r="L4" s="1">
        <f>LOG(G4)</f>
        <v>0.69659464117520575</v>
      </c>
      <c r="M4" s="1">
        <f>LOG(I4)</f>
        <v>1.997624636839187</v>
      </c>
      <c r="O4">
        <f>LOG(G4)</f>
        <v>0.69659464117520575</v>
      </c>
      <c r="R4" s="1">
        <v>1.2E-2</v>
      </c>
      <c r="S4">
        <v>4.9763033175355451</v>
      </c>
    </row>
    <row r="5" spans="1:19" x14ac:dyDescent="0.25">
      <c r="B5" s="1">
        <v>10</v>
      </c>
      <c r="C5" s="1">
        <v>2.1800000000000002</v>
      </c>
      <c r="D5" s="1">
        <v>1.4999999999999999E-2</v>
      </c>
      <c r="E5" s="1">
        <v>10</v>
      </c>
      <c r="F5" s="1">
        <f t="shared" ref="F5:F12" si="0">((D5-0.006)/0.22)</f>
        <v>4.0909090909090909E-2</v>
      </c>
      <c r="G5" s="1">
        <f t="shared" ref="G5:G12" si="1">E5-F5</f>
        <v>9.959090909090909</v>
      </c>
      <c r="H5" s="1">
        <f t="shared" ref="H5:H12" si="2">((G5*0.02)/0.1)</f>
        <v>1.9918181818181817</v>
      </c>
      <c r="I5" s="1">
        <f t="shared" ref="I5:I12" si="3">(G5/E5)*100</f>
        <v>99.590909090909079</v>
      </c>
      <c r="J5" s="1">
        <f t="shared" ref="J5:J12" si="4">1/G5</f>
        <v>0.10041077133728891</v>
      </c>
      <c r="K5" s="1">
        <f t="shared" ref="K5:K12" si="5">1/H5</f>
        <v>0.50205385668644453</v>
      </c>
      <c r="L5" s="1">
        <f t="shared" ref="L5:L12" si="6">LOG(H5)</f>
        <v>0.29924969240248023</v>
      </c>
      <c r="M5" s="1">
        <f t="shared" ref="M5:M12" si="7">LOG(I5)</f>
        <v>1.9982196967384991</v>
      </c>
      <c r="O5">
        <f t="shared" ref="O5:O12" si="8">LOG(G5)</f>
        <v>0.99821969673849908</v>
      </c>
      <c r="R5" s="1">
        <v>1.4999999999999999E-2</v>
      </c>
      <c r="S5">
        <v>9.9620853080568725</v>
      </c>
    </row>
    <row r="6" spans="1:19" x14ac:dyDescent="0.25">
      <c r="B6" s="1">
        <v>20</v>
      </c>
      <c r="C6" s="1">
        <v>2.1800000000000002</v>
      </c>
      <c r="D6" s="1">
        <v>1.6E-2</v>
      </c>
      <c r="E6" s="1">
        <v>20</v>
      </c>
      <c r="F6" s="1">
        <f t="shared" si="0"/>
        <v>4.5454545454545456E-2</v>
      </c>
      <c r="G6" s="1">
        <f t="shared" si="1"/>
        <v>19.954545454545453</v>
      </c>
      <c r="H6" s="1">
        <f t="shared" si="2"/>
        <v>3.9909090909090903</v>
      </c>
      <c r="I6" s="1">
        <f t="shared" si="3"/>
        <v>99.772727272727266</v>
      </c>
      <c r="J6" s="1">
        <f t="shared" si="4"/>
        <v>5.0113895216400917E-2</v>
      </c>
      <c r="K6" s="1">
        <f t="shared" si="5"/>
        <v>0.25056947608200458</v>
      </c>
      <c r="L6" s="1">
        <f t="shared" si="6"/>
        <v>0.60107183508389628</v>
      </c>
      <c r="M6" s="1">
        <f t="shared" si="7"/>
        <v>1.9990118437559339</v>
      </c>
      <c r="O6">
        <f t="shared" si="8"/>
        <v>1.3000418394199151</v>
      </c>
      <c r="R6" s="1">
        <v>1.7000000000000001E-2</v>
      </c>
      <c r="S6">
        <v>19.952606635071088</v>
      </c>
    </row>
    <row r="7" spans="1:19" x14ac:dyDescent="0.25">
      <c r="B7" s="1">
        <v>30</v>
      </c>
      <c r="C7" s="1">
        <v>2.1800000000000002</v>
      </c>
      <c r="D7" s="1">
        <v>1.7000000000000001E-2</v>
      </c>
      <c r="E7" s="1">
        <v>30</v>
      </c>
      <c r="F7" s="1">
        <f t="shared" si="0"/>
        <v>0.05</v>
      </c>
      <c r="G7" s="1">
        <f t="shared" si="1"/>
        <v>29.95</v>
      </c>
      <c r="H7" s="1">
        <f t="shared" si="2"/>
        <v>5.9899999999999993</v>
      </c>
      <c r="I7" s="1">
        <f t="shared" si="3"/>
        <v>99.833333333333329</v>
      </c>
      <c r="J7" s="1">
        <f t="shared" si="4"/>
        <v>3.3388981636060099E-2</v>
      </c>
      <c r="K7" s="1">
        <f t="shared" si="5"/>
        <v>0.16694490818030053</v>
      </c>
      <c r="L7" s="1">
        <f t="shared" si="6"/>
        <v>0.77742682238931138</v>
      </c>
      <c r="M7" s="1">
        <f t="shared" si="7"/>
        <v>1.9992755720056676</v>
      </c>
      <c r="O7">
        <f t="shared" si="8"/>
        <v>1.4763968267253302</v>
      </c>
      <c r="R7" s="1">
        <v>0.02</v>
      </c>
      <c r="S7">
        <v>29.938388625592417</v>
      </c>
    </row>
    <row r="8" spans="1:19" x14ac:dyDescent="0.25">
      <c r="B8" s="1">
        <v>45</v>
      </c>
      <c r="C8" s="1">
        <v>2.1800000000000002</v>
      </c>
      <c r="D8" s="1">
        <v>1.7000000000000001E-2</v>
      </c>
      <c r="E8" s="1">
        <v>45</v>
      </c>
      <c r="F8" s="1">
        <f t="shared" si="0"/>
        <v>0.05</v>
      </c>
      <c r="G8" s="1">
        <f t="shared" si="1"/>
        <v>44.95</v>
      </c>
      <c r="H8" s="1">
        <f t="shared" si="2"/>
        <v>8.99</v>
      </c>
      <c r="I8" s="1">
        <f t="shared" si="3"/>
        <v>99.8888888888889</v>
      </c>
      <c r="J8" s="1">
        <f t="shared" si="4"/>
        <v>2.2246941045606226E-2</v>
      </c>
      <c r="K8" s="1">
        <f t="shared" si="5"/>
        <v>0.11123470522803114</v>
      </c>
      <c r="L8" s="1">
        <f t="shared" si="6"/>
        <v>0.95375969173322883</v>
      </c>
      <c r="M8" s="1">
        <f t="shared" si="7"/>
        <v>1.999517182293904</v>
      </c>
      <c r="O8">
        <f t="shared" si="8"/>
        <v>1.6527296960692477</v>
      </c>
      <c r="R8" s="1">
        <v>0.03</v>
      </c>
      <c r="S8">
        <v>44.890995260663509</v>
      </c>
    </row>
    <row r="9" spans="1:19" x14ac:dyDescent="0.25">
      <c r="B9" s="1">
        <v>50</v>
      </c>
      <c r="C9" s="1">
        <v>2.1800000000000002</v>
      </c>
      <c r="D9" s="1">
        <v>3.6999999999999998E-2</v>
      </c>
      <c r="E9" s="1">
        <v>50</v>
      </c>
      <c r="F9" s="1">
        <f t="shared" si="0"/>
        <v>0.1409090909090909</v>
      </c>
      <c r="G9" s="1">
        <f t="shared" si="1"/>
        <v>49.859090909090909</v>
      </c>
      <c r="H9" s="1">
        <f t="shared" si="2"/>
        <v>9.9718181818181808</v>
      </c>
      <c r="I9" s="1">
        <f t="shared" si="3"/>
        <v>99.718181818181819</v>
      </c>
      <c r="J9" s="1">
        <f t="shared" si="4"/>
        <v>2.0056522928252347E-2</v>
      </c>
      <c r="K9" s="1">
        <f t="shared" si="5"/>
        <v>0.10028261464126174</v>
      </c>
      <c r="L9" s="1">
        <f t="shared" si="6"/>
        <v>0.99877435132462189</v>
      </c>
      <c r="M9" s="1">
        <f t="shared" si="7"/>
        <v>1.9987743513246219</v>
      </c>
      <c r="O9">
        <f t="shared" si="8"/>
        <v>1.6977443556606406</v>
      </c>
      <c r="R9" s="1">
        <v>3.5000000000000003E-2</v>
      </c>
      <c r="S9">
        <v>49.867298578199055</v>
      </c>
    </row>
    <row r="10" spans="1:19" x14ac:dyDescent="0.25">
      <c r="B10" s="1">
        <v>60</v>
      </c>
      <c r="C10" s="1">
        <v>2.1800000000000002</v>
      </c>
      <c r="D10" s="1">
        <v>4.2999999999999997E-2</v>
      </c>
      <c r="E10" s="1">
        <v>60</v>
      </c>
      <c r="F10" s="1">
        <f t="shared" si="0"/>
        <v>0.16818181818181818</v>
      </c>
      <c r="G10" s="1">
        <f t="shared" si="1"/>
        <v>59.831818181818178</v>
      </c>
      <c r="H10" s="1">
        <f t="shared" si="2"/>
        <v>11.966363636363635</v>
      </c>
      <c r="I10" s="1">
        <f t="shared" si="3"/>
        <v>99.719696969696969</v>
      </c>
      <c r="J10" s="1">
        <f t="shared" si="4"/>
        <v>1.6713515156119428E-2</v>
      </c>
      <c r="K10" s="1">
        <f t="shared" si="5"/>
        <v>8.3567575780597134E-2</v>
      </c>
      <c r="L10" s="1">
        <f t="shared" si="6"/>
        <v>1.0779621961382011</v>
      </c>
      <c r="M10" s="1">
        <f t="shared" si="7"/>
        <v>1.9987809500905764</v>
      </c>
      <c r="O10">
        <f t="shared" si="8"/>
        <v>1.7769322004742201</v>
      </c>
      <c r="R10" s="1">
        <v>4.1000000000000002E-2</v>
      </c>
      <c r="S10">
        <v>59.838862559241704</v>
      </c>
    </row>
    <row r="11" spans="1:19" x14ac:dyDescent="0.25">
      <c r="B11" s="1">
        <v>70</v>
      </c>
      <c r="C11" s="1">
        <v>2.1800000000000002</v>
      </c>
      <c r="D11" s="1">
        <v>4.2999999999999997E-2</v>
      </c>
      <c r="E11" s="1">
        <v>70</v>
      </c>
      <c r="F11" s="1">
        <f t="shared" si="0"/>
        <v>0.16818181818181818</v>
      </c>
      <c r="G11" s="1">
        <f t="shared" si="1"/>
        <v>69.831818181818178</v>
      </c>
      <c r="H11" s="1">
        <f t="shared" si="2"/>
        <v>13.966363636363637</v>
      </c>
      <c r="I11" s="1">
        <f t="shared" si="3"/>
        <v>99.759740259740255</v>
      </c>
      <c r="J11" s="1">
        <f t="shared" si="4"/>
        <v>1.4320119768274426E-2</v>
      </c>
      <c r="K11" s="1">
        <f t="shared" si="5"/>
        <v>7.1600598841372126E-2</v>
      </c>
      <c r="L11" s="1">
        <f t="shared" si="6"/>
        <v>1.1450833453958336</v>
      </c>
      <c r="M11" s="1">
        <f t="shared" si="7"/>
        <v>1.9989553097175954</v>
      </c>
      <c r="O11">
        <f t="shared" si="8"/>
        <v>1.8440533497318523</v>
      </c>
      <c r="R11" s="1">
        <v>4.9000000000000002E-2</v>
      </c>
      <c r="S11">
        <v>69.800947867298575</v>
      </c>
    </row>
    <row r="12" spans="1:19" x14ac:dyDescent="0.25">
      <c r="B12" s="1">
        <v>90</v>
      </c>
      <c r="C12" s="1">
        <v>2.1800000000000002</v>
      </c>
      <c r="D12" s="1">
        <v>6.2E-2</v>
      </c>
      <c r="E12" s="1">
        <v>90</v>
      </c>
      <c r="F12" s="1">
        <f t="shared" si="0"/>
        <v>0.25454545454545457</v>
      </c>
      <c r="G12" s="1">
        <f t="shared" si="1"/>
        <v>89.74545454545455</v>
      </c>
      <c r="H12" s="1">
        <f t="shared" si="2"/>
        <v>17.949090909090909</v>
      </c>
      <c r="I12" s="1">
        <f t="shared" si="3"/>
        <v>99.717171717171723</v>
      </c>
      <c r="J12" s="1">
        <f t="shared" si="4"/>
        <v>1.1142625607779578E-2</v>
      </c>
      <c r="K12" s="1">
        <f t="shared" si="5"/>
        <v>5.5713128038897893E-2</v>
      </c>
      <c r="L12" s="1">
        <f t="shared" si="6"/>
        <v>1.2540424571949227</v>
      </c>
      <c r="M12" s="1">
        <f t="shared" si="7"/>
        <v>1.9987699520916167</v>
      </c>
      <c r="O12">
        <f t="shared" si="8"/>
        <v>1.9530124615309414</v>
      </c>
      <c r="R12" s="1">
        <v>6.2E-2</v>
      </c>
      <c r="S12">
        <v>89.739336492890999</v>
      </c>
    </row>
    <row r="30" spans="2:40" x14ac:dyDescent="0.25">
      <c r="B30" s="13" t="s">
        <v>68</v>
      </c>
      <c r="D30" t="s">
        <v>69</v>
      </c>
      <c r="I30" s="13" t="s">
        <v>70</v>
      </c>
      <c r="K30" t="s">
        <v>71</v>
      </c>
      <c r="N30" s="13" t="s">
        <v>72</v>
      </c>
      <c r="O30" t="s">
        <v>73</v>
      </c>
      <c r="R30" s="13" t="s">
        <v>74</v>
      </c>
      <c r="T30" t="s">
        <v>75</v>
      </c>
      <c r="Z30" s="13" t="s">
        <v>76</v>
      </c>
      <c r="AB30" t="s">
        <v>77</v>
      </c>
      <c r="AF30" s="13" t="s">
        <v>78</v>
      </c>
      <c r="AG30" t="s">
        <v>79</v>
      </c>
    </row>
    <row r="31" spans="2:40" x14ac:dyDescent="0.25">
      <c r="B31" s="2" t="s">
        <v>80</v>
      </c>
      <c r="C31" s="2" t="s">
        <v>23</v>
      </c>
      <c r="D31" s="2" t="s">
        <v>25</v>
      </c>
      <c r="E31" s="2" t="s">
        <v>26</v>
      </c>
      <c r="F31" s="8" t="s">
        <v>147</v>
      </c>
      <c r="G31" s="8"/>
      <c r="I31" s="3" t="s">
        <v>80</v>
      </c>
      <c r="J31" s="3" t="s">
        <v>45</v>
      </c>
      <c r="K31" s="3" t="s">
        <v>81</v>
      </c>
      <c r="L31" s="3" t="s">
        <v>82</v>
      </c>
      <c r="N31" s="3" t="s">
        <v>80</v>
      </c>
      <c r="O31" s="3" t="s">
        <v>45</v>
      </c>
      <c r="P31" s="3" t="s">
        <v>83</v>
      </c>
      <c r="R31" s="3" t="s">
        <v>45</v>
      </c>
      <c r="S31" s="3" t="s">
        <v>84</v>
      </c>
      <c r="T31" s="3" t="s">
        <v>85</v>
      </c>
      <c r="U31" s="3" t="s">
        <v>86</v>
      </c>
      <c r="V31" s="3" t="s">
        <v>87</v>
      </c>
      <c r="W31" s="3" t="s">
        <v>86</v>
      </c>
      <c r="Z31" s="3" t="s">
        <v>80</v>
      </c>
      <c r="AA31" s="3" t="s">
        <v>45</v>
      </c>
      <c r="AB31" s="3" t="s">
        <v>88</v>
      </c>
      <c r="AC31" s="3" t="s">
        <v>89</v>
      </c>
      <c r="AD31" s="3" t="s">
        <v>83</v>
      </c>
      <c r="AF31" s="3" t="s">
        <v>45</v>
      </c>
      <c r="AG31" s="3" t="s">
        <v>85</v>
      </c>
      <c r="AH31" s="3" t="s">
        <v>90</v>
      </c>
      <c r="AI31" s="3" t="s">
        <v>85</v>
      </c>
      <c r="AK31" s="3" t="s">
        <v>45</v>
      </c>
      <c r="AL31" s="3" t="s">
        <v>85</v>
      </c>
      <c r="AM31" s="3" t="s">
        <v>83</v>
      </c>
      <c r="AN31" s="3" t="s">
        <v>156</v>
      </c>
    </row>
    <row r="32" spans="2:40" x14ac:dyDescent="0.25">
      <c r="B32" s="1">
        <v>4.9727272727272727</v>
      </c>
      <c r="C32" s="1">
        <v>0.99454545454545462</v>
      </c>
      <c r="D32" s="4">
        <f>1/B32</f>
        <v>0.20109689213893966</v>
      </c>
      <c r="E32" s="4">
        <f>1/C32</f>
        <v>1.0054844606946982</v>
      </c>
      <c r="F32">
        <f>B32/C32</f>
        <v>4.9999999999999991</v>
      </c>
      <c r="G32" s="1">
        <v>4.9763033175355451</v>
      </c>
      <c r="I32" s="1">
        <v>4.9727272727272727</v>
      </c>
      <c r="J32" s="4">
        <v>0.99454545454545462</v>
      </c>
      <c r="K32" s="4">
        <f>LOG(I32)</f>
        <v>0.69659464117520575</v>
      </c>
      <c r="L32" s="4">
        <f>LOG(J32)</f>
        <v>-2.3753631608130388E-3</v>
      </c>
      <c r="N32" s="1">
        <v>4.9727272727272727</v>
      </c>
      <c r="O32" s="1">
        <v>0.99454545454545462</v>
      </c>
      <c r="P32" s="4">
        <f>LN(N32)</f>
        <v>1.603968436629565</v>
      </c>
      <c r="R32" s="1">
        <v>0.99454545454545462</v>
      </c>
      <c r="S32" s="4">
        <f>R32^2</f>
        <v>0.98912066115702491</v>
      </c>
      <c r="T32" s="1">
        <v>4.9727272727272727</v>
      </c>
      <c r="U32" s="4">
        <f>LOG(T32)</f>
        <v>0.69659464117520575</v>
      </c>
      <c r="V32" s="4">
        <f>1/S32</f>
        <v>1.0109990006985083</v>
      </c>
      <c r="W32" s="4">
        <f>LOG(T32)</f>
        <v>0.69659464117520575</v>
      </c>
      <c r="Z32" s="1">
        <v>4.9727272727272727</v>
      </c>
      <c r="AA32" s="4">
        <v>0.99454545454545462</v>
      </c>
      <c r="AB32" s="4">
        <f>LN(Z32)</f>
        <v>1.603968436629565</v>
      </c>
      <c r="AC32" s="4">
        <f>AB32/AA32</f>
        <v>1.6127653384757965</v>
      </c>
      <c r="AD32" s="4">
        <f>LN(Z32)</f>
        <v>1.603968436629565</v>
      </c>
      <c r="AF32" s="4">
        <v>0.99454545454545462</v>
      </c>
      <c r="AG32" s="1">
        <v>4.9727272727272727</v>
      </c>
      <c r="AH32" s="4">
        <f>LN(AF32)</f>
        <v>-5.4694758045353209E-3</v>
      </c>
      <c r="AI32" s="4">
        <v>9.9526066350710902</v>
      </c>
      <c r="AK32" s="4">
        <v>0.99454545454545462</v>
      </c>
      <c r="AL32" s="1">
        <v>4.9727272727272727</v>
      </c>
      <c r="AM32" s="4">
        <f>LN(AL32)</f>
        <v>1.603968436629565</v>
      </c>
      <c r="AN32" s="4">
        <f>LN(AK32)</f>
        <v>-5.4694758045353209E-3</v>
      </c>
    </row>
    <row r="33" spans="2:40" x14ac:dyDescent="0.25">
      <c r="B33" s="1">
        <v>9.959090909090909</v>
      </c>
      <c r="C33" s="1">
        <v>1.9918181818181817</v>
      </c>
      <c r="D33" s="4">
        <f t="shared" ref="D33:D40" si="9">1/B33</f>
        <v>0.10041077133728891</v>
      </c>
      <c r="E33" s="4">
        <f t="shared" ref="E33:E40" si="10">1/C33</f>
        <v>0.50205385668644453</v>
      </c>
      <c r="F33">
        <f t="shared" ref="F33:F40" si="11">B33/C33</f>
        <v>5</v>
      </c>
      <c r="G33" s="1">
        <v>9.9620853080568725</v>
      </c>
      <c r="I33" s="1">
        <v>9.959090909090909</v>
      </c>
      <c r="J33" s="4">
        <v>1.9918181818181817</v>
      </c>
      <c r="K33" s="4">
        <f t="shared" ref="K33:L40" si="12">LOG(I33)</f>
        <v>0.99821969673849908</v>
      </c>
      <c r="L33" s="4">
        <f t="shared" si="12"/>
        <v>0.29924969240248023</v>
      </c>
      <c r="N33" s="1">
        <v>9.959090909090909</v>
      </c>
      <c r="O33" s="1">
        <v>1.9918181818181817</v>
      </c>
      <c r="P33" s="4">
        <f t="shared" ref="P33:P40" si="13">LN(N33)</f>
        <v>2.2984857932431049</v>
      </c>
      <c r="R33" s="1">
        <v>1.9918181818181817</v>
      </c>
      <c r="S33" s="4">
        <f t="shared" ref="S33:S40" si="14">R33^2</f>
        <v>3.9673396694214871</v>
      </c>
      <c r="T33" s="1">
        <v>9.959090909090909</v>
      </c>
      <c r="U33" s="4">
        <f t="shared" ref="U33:U40" si="15">LOG(T33)</f>
        <v>0.99821969673849908</v>
      </c>
      <c r="V33" s="4">
        <f t="shared" ref="V33:V40" si="16">1/S33</f>
        <v>0.25205807501373301</v>
      </c>
      <c r="W33" s="4">
        <f t="shared" ref="W33:W40" si="17">LOG(T33)</f>
        <v>0.99821969673849908</v>
      </c>
      <c r="Z33" s="1">
        <v>9.959090909090909</v>
      </c>
      <c r="AA33" s="4">
        <v>1.9918181818181817</v>
      </c>
      <c r="AB33" s="4">
        <f t="shared" ref="AB33:AB40" si="18">LN(Z33)</f>
        <v>2.2984857932431049</v>
      </c>
      <c r="AC33" s="4">
        <f t="shared" ref="AC33:AC40" si="19">AB33/AA33</f>
        <v>1.1539636570367027</v>
      </c>
      <c r="AD33" s="4">
        <f t="shared" ref="AD33:AD40" si="20">LN(Z33)</f>
        <v>2.2984857932431049</v>
      </c>
      <c r="AF33" s="4">
        <v>1.9918181818181817</v>
      </c>
      <c r="AG33" s="1">
        <v>9.959090909090909</v>
      </c>
      <c r="AH33" s="4">
        <f t="shared" ref="AH33:AH40" si="21">LN(AF33)</f>
        <v>0.68904788080900459</v>
      </c>
      <c r="AI33" s="4">
        <v>19.924170616113745</v>
      </c>
      <c r="AK33" s="4">
        <v>1.9918181818181817</v>
      </c>
      <c r="AL33" s="1">
        <v>9.959090909090909</v>
      </c>
      <c r="AM33" s="4">
        <f t="shared" ref="AM33:AM40" si="22">LN(AL33)</f>
        <v>2.2984857932431049</v>
      </c>
      <c r="AN33" s="4">
        <f t="shared" ref="AN33:AN39" si="23">LN(AK33)</f>
        <v>0.68904788080900459</v>
      </c>
    </row>
    <row r="34" spans="2:40" x14ac:dyDescent="0.25">
      <c r="B34" s="1">
        <v>19.954545454545453</v>
      </c>
      <c r="C34" s="1">
        <v>3.9909090909090903</v>
      </c>
      <c r="D34" s="4">
        <f t="shared" si="9"/>
        <v>5.0113895216400917E-2</v>
      </c>
      <c r="E34" s="4">
        <f t="shared" si="10"/>
        <v>0.25056947608200458</v>
      </c>
      <c r="F34">
        <f t="shared" si="11"/>
        <v>5.0000000000000009</v>
      </c>
      <c r="G34" s="1">
        <v>19.952606635071088</v>
      </c>
      <c r="I34" s="1">
        <v>19.954545454545453</v>
      </c>
      <c r="J34" s="4">
        <v>3.9909090909090903</v>
      </c>
      <c r="K34" s="4">
        <f t="shared" si="12"/>
        <v>1.3000418394199151</v>
      </c>
      <c r="L34" s="4">
        <f t="shared" si="12"/>
        <v>0.60107183508389628</v>
      </c>
      <c r="N34" s="1">
        <v>19.954545454545453</v>
      </c>
      <c r="O34" s="1">
        <v>3.9909090909090903</v>
      </c>
      <c r="P34" s="4">
        <f t="shared" si="13"/>
        <v>2.9934569597168554</v>
      </c>
      <c r="R34" s="1">
        <v>3.9909090909090903</v>
      </c>
      <c r="S34" s="4">
        <f t="shared" si="14"/>
        <v>15.927355371900822</v>
      </c>
      <c r="T34" s="1">
        <v>19.954545454545453</v>
      </c>
      <c r="U34" s="4">
        <f t="shared" si="15"/>
        <v>1.3000418394199151</v>
      </c>
      <c r="V34" s="4">
        <f t="shared" si="16"/>
        <v>6.2785062344010267E-2</v>
      </c>
      <c r="W34" s="4">
        <f t="shared" si="17"/>
        <v>1.3000418394199151</v>
      </c>
      <c r="Z34" s="1">
        <v>19.954545454545453</v>
      </c>
      <c r="AA34" s="4">
        <v>3.9909090909090903</v>
      </c>
      <c r="AB34" s="4">
        <f t="shared" si="18"/>
        <v>2.9934569597168554</v>
      </c>
      <c r="AC34" s="4">
        <f t="shared" si="19"/>
        <v>0.75006894207028285</v>
      </c>
      <c r="AD34" s="4">
        <f t="shared" si="20"/>
        <v>2.9934569597168554</v>
      </c>
      <c r="AF34" s="4">
        <v>3.9909090909090903</v>
      </c>
      <c r="AG34" s="1">
        <v>19.954545454545453</v>
      </c>
      <c r="AH34" s="4">
        <f t="shared" si="21"/>
        <v>1.3840190472827549</v>
      </c>
      <c r="AI34" s="4">
        <v>39.905213270142177</v>
      </c>
      <c r="AK34" s="4">
        <v>3.9909090909090903</v>
      </c>
      <c r="AL34" s="1">
        <v>19.954545454545453</v>
      </c>
      <c r="AM34" s="4">
        <f t="shared" si="22"/>
        <v>2.9934569597168554</v>
      </c>
      <c r="AN34" s="4">
        <f t="shared" si="23"/>
        <v>1.3840190472827549</v>
      </c>
    </row>
    <row r="35" spans="2:40" x14ac:dyDescent="0.25">
      <c r="B35" s="1">
        <v>29.95</v>
      </c>
      <c r="C35" s="1">
        <v>5.9899999999999993</v>
      </c>
      <c r="D35" s="4">
        <f t="shared" si="9"/>
        <v>3.3388981636060099E-2</v>
      </c>
      <c r="E35" s="4">
        <f t="shared" si="10"/>
        <v>0.16694490818030053</v>
      </c>
      <c r="F35">
        <f t="shared" si="11"/>
        <v>5.0000000000000009</v>
      </c>
      <c r="G35" s="1">
        <v>29.938388625592417</v>
      </c>
      <c r="I35" s="1">
        <v>29.95</v>
      </c>
      <c r="J35" s="4">
        <v>5.9899999999999993</v>
      </c>
      <c r="K35" s="4">
        <f t="shared" si="12"/>
        <v>1.4763968267253302</v>
      </c>
      <c r="L35" s="4">
        <f t="shared" si="12"/>
        <v>0.77742682238931138</v>
      </c>
      <c r="N35" s="1">
        <v>29.95</v>
      </c>
      <c r="O35" s="1">
        <v>5.9899999999999993</v>
      </c>
      <c r="P35" s="4">
        <f t="shared" si="13"/>
        <v>3.3995293245614584</v>
      </c>
      <c r="R35" s="1">
        <v>5.9899999999999993</v>
      </c>
      <c r="S35" s="4">
        <f t="shared" si="14"/>
        <v>35.880099999999992</v>
      </c>
      <c r="T35" s="1">
        <v>29.95</v>
      </c>
      <c r="U35" s="4">
        <f t="shared" si="15"/>
        <v>1.4763968267253302</v>
      </c>
      <c r="V35" s="4">
        <f t="shared" si="16"/>
        <v>2.7870602367328971E-2</v>
      </c>
      <c r="W35" s="4">
        <f t="shared" si="17"/>
        <v>1.4763968267253302</v>
      </c>
      <c r="Z35" s="1">
        <v>29.95</v>
      </c>
      <c r="AA35" s="4">
        <v>5.9899999999999993</v>
      </c>
      <c r="AB35" s="4">
        <f t="shared" si="18"/>
        <v>3.3995293245614584</v>
      </c>
      <c r="AC35" s="4">
        <f t="shared" si="19"/>
        <v>0.56753411094515172</v>
      </c>
      <c r="AD35" s="4">
        <f t="shared" si="20"/>
        <v>3.3995293245614584</v>
      </c>
      <c r="AF35" s="4">
        <v>5.9899999999999993</v>
      </c>
      <c r="AG35" s="1">
        <v>29.95</v>
      </c>
      <c r="AH35" s="4">
        <f t="shared" si="21"/>
        <v>1.7900914121273579</v>
      </c>
      <c r="AI35" s="4">
        <v>59.876777251184834</v>
      </c>
      <c r="AK35" s="4">
        <v>5.9899999999999993</v>
      </c>
      <c r="AL35" s="1">
        <v>29.95</v>
      </c>
      <c r="AM35" s="4">
        <f t="shared" si="22"/>
        <v>3.3995293245614584</v>
      </c>
      <c r="AN35" s="4">
        <f t="shared" si="23"/>
        <v>1.7900914121273579</v>
      </c>
    </row>
    <row r="36" spans="2:40" x14ac:dyDescent="0.25">
      <c r="B36" s="1">
        <v>44.95</v>
      </c>
      <c r="C36" s="1">
        <v>8.99</v>
      </c>
      <c r="D36" s="4">
        <f t="shared" si="9"/>
        <v>2.2246941045606226E-2</v>
      </c>
      <c r="E36" s="4">
        <f t="shared" si="10"/>
        <v>0.11123470522803114</v>
      </c>
      <c r="F36">
        <f t="shared" si="11"/>
        <v>5</v>
      </c>
      <c r="G36" s="1">
        <v>44.890995260663509</v>
      </c>
      <c r="I36" s="1">
        <v>44.95</v>
      </c>
      <c r="J36" s="4">
        <v>8.99</v>
      </c>
      <c r="K36" s="4">
        <f t="shared" si="12"/>
        <v>1.6527296960692477</v>
      </c>
      <c r="L36" s="4">
        <f t="shared" si="12"/>
        <v>0.95375969173322883</v>
      </c>
      <c r="N36" s="1">
        <v>44.95</v>
      </c>
      <c r="O36" s="1">
        <v>8.99</v>
      </c>
      <c r="P36" s="4">
        <f t="shared" si="13"/>
        <v>3.8055507609176296</v>
      </c>
      <c r="R36" s="1">
        <v>8.99</v>
      </c>
      <c r="S36" s="4">
        <f t="shared" si="14"/>
        <v>80.820100000000011</v>
      </c>
      <c r="T36" s="1">
        <v>44.95</v>
      </c>
      <c r="U36" s="4">
        <f t="shared" si="15"/>
        <v>1.6527296960692477</v>
      </c>
      <c r="V36" s="4">
        <f t="shared" si="16"/>
        <v>1.2373159647166978E-2</v>
      </c>
      <c r="W36" s="4">
        <f t="shared" si="17"/>
        <v>1.6527296960692477</v>
      </c>
      <c r="Z36" s="1">
        <v>44.95</v>
      </c>
      <c r="AA36" s="4">
        <v>8.99</v>
      </c>
      <c r="AB36" s="4">
        <f t="shared" si="18"/>
        <v>3.8055507609176296</v>
      </c>
      <c r="AC36" s="4">
        <f t="shared" si="19"/>
        <v>0.42330931712098213</v>
      </c>
      <c r="AD36" s="4">
        <f t="shared" si="20"/>
        <v>3.8055507609176296</v>
      </c>
      <c r="AF36" s="4">
        <v>8.99</v>
      </c>
      <c r="AG36" s="1">
        <v>44.95</v>
      </c>
      <c r="AH36" s="4">
        <f t="shared" si="21"/>
        <v>2.1961128484835291</v>
      </c>
      <c r="AI36" s="4">
        <v>89.781990521327018</v>
      </c>
      <c r="AK36" s="4">
        <v>8.99</v>
      </c>
      <c r="AL36" s="1">
        <v>44.95</v>
      </c>
      <c r="AM36" s="4">
        <f t="shared" si="22"/>
        <v>3.8055507609176296</v>
      </c>
      <c r="AN36" s="4">
        <f t="shared" si="23"/>
        <v>2.1961128484835291</v>
      </c>
    </row>
    <row r="37" spans="2:40" x14ac:dyDescent="0.25">
      <c r="B37" s="1">
        <v>49.859090909090909</v>
      </c>
      <c r="C37" s="1">
        <v>9.9718181818181808</v>
      </c>
      <c r="D37" s="4">
        <f t="shared" si="9"/>
        <v>2.0056522928252347E-2</v>
      </c>
      <c r="E37" s="4">
        <f t="shared" si="10"/>
        <v>0.10028261464126174</v>
      </c>
      <c r="F37">
        <f t="shared" si="11"/>
        <v>5.0000000000000009</v>
      </c>
      <c r="G37" s="1">
        <v>49.867298578199055</v>
      </c>
      <c r="I37" s="1">
        <v>49.859090909090909</v>
      </c>
      <c r="J37" s="4">
        <v>9.9718181818181808</v>
      </c>
      <c r="K37" s="4">
        <f t="shared" si="12"/>
        <v>1.6977443556606406</v>
      </c>
      <c r="L37" s="4">
        <f t="shared" si="12"/>
        <v>0.99877435132462189</v>
      </c>
      <c r="N37" s="1">
        <v>49.859090909090909</v>
      </c>
      <c r="O37" s="1">
        <v>9.9718181818181808</v>
      </c>
      <c r="P37" s="4">
        <f t="shared" si="13"/>
        <v>3.9092008450589728</v>
      </c>
      <c r="R37" s="1">
        <v>9.9718181818181808</v>
      </c>
      <c r="S37" s="4">
        <f t="shared" si="14"/>
        <v>99.437157851239647</v>
      </c>
      <c r="T37" s="1">
        <v>49.859090909090909</v>
      </c>
      <c r="U37" s="4">
        <f t="shared" si="15"/>
        <v>1.6977443556606406</v>
      </c>
      <c r="V37" s="4">
        <f t="shared" si="16"/>
        <v>1.0056602799287806E-2</v>
      </c>
      <c r="W37" s="4">
        <f t="shared" si="17"/>
        <v>1.6977443556606406</v>
      </c>
      <c r="Z37" s="1">
        <v>49.859090909090909</v>
      </c>
      <c r="AA37" s="4">
        <v>9.9718181818181808</v>
      </c>
      <c r="AB37" s="4">
        <f t="shared" si="18"/>
        <v>3.9092008450589728</v>
      </c>
      <c r="AC37" s="4">
        <f t="shared" si="19"/>
        <v>0.39202488190034374</v>
      </c>
      <c r="AD37" s="4">
        <f t="shared" si="20"/>
        <v>3.9092008450589728</v>
      </c>
      <c r="AF37" s="4">
        <v>9.9718181818181808</v>
      </c>
      <c r="AG37" s="1">
        <v>49.859090909090909</v>
      </c>
      <c r="AH37" s="4">
        <f t="shared" si="21"/>
        <v>2.2997629326248723</v>
      </c>
      <c r="AI37" s="4">
        <v>99.73459715639811</v>
      </c>
      <c r="AK37" s="4">
        <v>9.9718181818181808</v>
      </c>
      <c r="AL37" s="1">
        <v>49.859090909090909</v>
      </c>
      <c r="AM37" s="4">
        <f t="shared" si="22"/>
        <v>3.9092008450589728</v>
      </c>
      <c r="AN37" s="4">
        <f t="shared" si="23"/>
        <v>2.2997629326248723</v>
      </c>
    </row>
    <row r="38" spans="2:40" x14ac:dyDescent="0.25">
      <c r="B38" s="1">
        <v>59.831818181818178</v>
      </c>
      <c r="C38" s="1">
        <v>11.966363636363635</v>
      </c>
      <c r="D38" s="4">
        <f t="shared" si="9"/>
        <v>1.6713515156119428E-2</v>
      </c>
      <c r="E38" s="4">
        <f t="shared" si="10"/>
        <v>8.3567575780597134E-2</v>
      </c>
      <c r="F38">
        <f t="shared" si="11"/>
        <v>5</v>
      </c>
      <c r="G38" s="1">
        <v>59.838862559241704</v>
      </c>
      <c r="I38" s="1">
        <v>59.831818181818178</v>
      </c>
      <c r="J38" s="4">
        <v>11.966363636363635</v>
      </c>
      <c r="K38" s="4">
        <f t="shared" si="12"/>
        <v>1.7769322004742201</v>
      </c>
      <c r="L38" s="4">
        <f t="shared" si="12"/>
        <v>1.0779621961382011</v>
      </c>
      <c r="N38" s="1">
        <v>59.831818181818178</v>
      </c>
      <c r="O38" s="1">
        <v>11.966363636363635</v>
      </c>
      <c r="P38" s="4">
        <f t="shared" si="13"/>
        <v>4.0915375960730458</v>
      </c>
      <c r="R38" s="1">
        <v>11.966363636363635</v>
      </c>
      <c r="S38" s="4">
        <f t="shared" si="14"/>
        <v>143.19385867768591</v>
      </c>
      <c r="T38" s="1">
        <v>59.831818181818178</v>
      </c>
      <c r="U38" s="4">
        <f t="shared" si="15"/>
        <v>1.7769322004742201</v>
      </c>
      <c r="V38" s="4">
        <f t="shared" si="16"/>
        <v>6.9835397218458457E-3</v>
      </c>
      <c r="W38" s="4">
        <f t="shared" si="17"/>
        <v>1.7769322004742201</v>
      </c>
      <c r="Z38" s="1">
        <v>59.831818181818178</v>
      </c>
      <c r="AA38" s="4">
        <v>11.966363636363635</v>
      </c>
      <c r="AB38" s="4">
        <f t="shared" si="18"/>
        <v>4.0915375960730458</v>
      </c>
      <c r="AC38" s="4">
        <f t="shared" si="19"/>
        <v>0.34191987811899649</v>
      </c>
      <c r="AD38" s="4">
        <f t="shared" si="20"/>
        <v>4.0915375960730458</v>
      </c>
      <c r="AF38" s="4">
        <v>11.966363636363635</v>
      </c>
      <c r="AG38" s="1">
        <v>59.831818181818178</v>
      </c>
      <c r="AH38" s="4">
        <f t="shared" si="21"/>
        <v>2.4820996836389457</v>
      </c>
      <c r="AI38" s="4">
        <v>119.67772511848339</v>
      </c>
      <c r="AK38" s="4">
        <v>11.966363636363635</v>
      </c>
      <c r="AL38" s="1">
        <v>59.831818181818178</v>
      </c>
      <c r="AM38" s="4">
        <f t="shared" si="22"/>
        <v>4.0915375960730458</v>
      </c>
      <c r="AN38" s="4">
        <f t="shared" si="23"/>
        <v>2.4820996836389457</v>
      </c>
    </row>
    <row r="39" spans="2:40" x14ac:dyDescent="0.25">
      <c r="B39" s="1">
        <v>69.831818181818178</v>
      </c>
      <c r="C39" s="1">
        <v>13.966363636363637</v>
      </c>
      <c r="D39" s="4">
        <f t="shared" si="9"/>
        <v>1.4320119768274426E-2</v>
      </c>
      <c r="E39" s="4">
        <f t="shared" si="10"/>
        <v>7.1600598841372126E-2</v>
      </c>
      <c r="F39">
        <f t="shared" si="11"/>
        <v>5</v>
      </c>
      <c r="G39" s="1">
        <v>69.800947867298575</v>
      </c>
      <c r="I39" s="1">
        <v>69.831818181818178</v>
      </c>
      <c r="J39" s="4">
        <v>13.966363636363637</v>
      </c>
      <c r="K39" s="4">
        <f t="shared" si="12"/>
        <v>1.8440533497318523</v>
      </c>
      <c r="L39" s="4">
        <f t="shared" si="12"/>
        <v>1.1450833453958336</v>
      </c>
      <c r="N39" s="1">
        <v>69.831818181818178</v>
      </c>
      <c r="O39" s="1">
        <v>13.966363636363637</v>
      </c>
      <c r="P39" s="4">
        <f t="shared" si="13"/>
        <v>4.246089753778298</v>
      </c>
      <c r="R39" s="1">
        <v>13.966363636363637</v>
      </c>
      <c r="S39" s="4">
        <f t="shared" si="14"/>
        <v>195.05931322314052</v>
      </c>
      <c r="T39" s="1">
        <v>69.831818181818178</v>
      </c>
      <c r="U39" s="4">
        <f t="shared" si="15"/>
        <v>1.8440533497318523</v>
      </c>
      <c r="V39" s="4">
        <f t="shared" si="16"/>
        <v>5.1266457544430991E-3</v>
      </c>
      <c r="W39" s="4">
        <f t="shared" si="17"/>
        <v>1.8440533497318523</v>
      </c>
      <c r="Z39" s="1">
        <v>69.831818181818178</v>
      </c>
      <c r="AA39" s="4">
        <v>13.966363636363637</v>
      </c>
      <c r="AB39" s="4">
        <f t="shared" si="18"/>
        <v>4.246089753778298</v>
      </c>
      <c r="AC39" s="4">
        <f t="shared" si="19"/>
        <v>0.30402256910474046</v>
      </c>
      <c r="AD39" s="4">
        <f t="shared" si="20"/>
        <v>4.246089753778298</v>
      </c>
      <c r="AF39" s="4">
        <v>13.966363636363637</v>
      </c>
      <c r="AG39" s="1">
        <v>69.831818181818178</v>
      </c>
      <c r="AH39" s="4">
        <f t="shared" si="21"/>
        <v>2.6366518413441979</v>
      </c>
      <c r="AI39" s="4">
        <v>139.60189573459715</v>
      </c>
      <c r="AK39" s="4">
        <v>13.966363636363637</v>
      </c>
      <c r="AL39" s="1">
        <v>69.831818181818178</v>
      </c>
      <c r="AM39" s="4">
        <f t="shared" si="22"/>
        <v>4.246089753778298</v>
      </c>
      <c r="AN39" s="4">
        <f t="shared" si="23"/>
        <v>2.6366518413441979</v>
      </c>
    </row>
    <row r="40" spans="2:40" x14ac:dyDescent="0.25">
      <c r="B40" s="1">
        <v>89.74545454545455</v>
      </c>
      <c r="C40" s="1">
        <v>17.949090909090909</v>
      </c>
      <c r="D40" s="4">
        <f t="shared" si="9"/>
        <v>1.1142625607779578E-2</v>
      </c>
      <c r="E40" s="4">
        <f t="shared" si="10"/>
        <v>5.5713128038897893E-2</v>
      </c>
      <c r="F40">
        <f t="shared" si="11"/>
        <v>5</v>
      </c>
      <c r="G40" s="1">
        <v>89.739336492890999</v>
      </c>
      <c r="I40" s="1">
        <v>89.74545454545455</v>
      </c>
      <c r="J40" s="4">
        <v>17.949090909090909</v>
      </c>
      <c r="K40" s="4">
        <f t="shared" si="12"/>
        <v>1.9530124615309414</v>
      </c>
      <c r="L40" s="4">
        <f t="shared" si="12"/>
        <v>1.2540424571949227</v>
      </c>
      <c r="N40" s="1">
        <v>89.74545454545455</v>
      </c>
      <c r="O40" s="1">
        <v>17.949090909090909</v>
      </c>
      <c r="P40" s="4">
        <f t="shared" si="13"/>
        <v>4.4969773803527531</v>
      </c>
      <c r="R40" s="1">
        <v>17.949090909090909</v>
      </c>
      <c r="S40" s="4">
        <f t="shared" si="14"/>
        <v>322.16986446280993</v>
      </c>
      <c r="T40" s="1">
        <v>89.74545454545455</v>
      </c>
      <c r="U40" s="4">
        <f t="shared" si="15"/>
        <v>1.9530124615309414</v>
      </c>
      <c r="V40" s="4">
        <f t="shared" si="16"/>
        <v>3.1039526358786307E-3</v>
      </c>
      <c r="W40" s="4">
        <f t="shared" si="17"/>
        <v>1.9530124615309414</v>
      </c>
      <c r="Z40" s="1">
        <v>89.74545454545455</v>
      </c>
      <c r="AA40" s="4">
        <v>17.949090909090909</v>
      </c>
      <c r="AB40" s="4">
        <f t="shared" si="18"/>
        <v>4.4969773803527531</v>
      </c>
      <c r="AC40" s="4">
        <f t="shared" si="19"/>
        <v>0.25054067657962054</v>
      </c>
      <c r="AD40" s="4">
        <f t="shared" si="20"/>
        <v>4.4969773803527531</v>
      </c>
      <c r="AF40" s="4">
        <v>17.949090909090909</v>
      </c>
      <c r="AG40" s="1">
        <v>89.74545454545455</v>
      </c>
      <c r="AH40" s="4">
        <f t="shared" si="21"/>
        <v>2.8875394679186526</v>
      </c>
      <c r="AI40" s="4">
        <v>179.478672985782</v>
      </c>
      <c r="AK40" s="4">
        <v>17.949090909090909</v>
      </c>
      <c r="AL40" s="1">
        <v>89.74545454545455</v>
      </c>
      <c r="AM40" s="4">
        <f t="shared" si="22"/>
        <v>4.4969773803527531</v>
      </c>
      <c r="AN40" s="4">
        <f>LN(AK40)</f>
        <v>2.8875394679186526</v>
      </c>
    </row>
    <row r="60" spans="1:50" ht="15.75" x14ac:dyDescent="0.25">
      <c r="A60" s="15" t="s">
        <v>68</v>
      </c>
      <c r="I60" s="13" t="s">
        <v>70</v>
      </c>
      <c r="Q60" t="s">
        <v>72</v>
      </c>
      <c r="AG60" s="13" t="s">
        <v>76</v>
      </c>
      <c r="AU60" t="s">
        <v>155</v>
      </c>
    </row>
    <row r="61" spans="1:50" x14ac:dyDescent="0.25">
      <c r="A61" s="16" t="s">
        <v>91</v>
      </c>
      <c r="B61" s="16" t="s">
        <v>43</v>
      </c>
      <c r="C61" s="16" t="s">
        <v>92</v>
      </c>
      <c r="D61" s="16" t="s">
        <v>93</v>
      </c>
      <c r="E61" s="16" t="s">
        <v>94</v>
      </c>
      <c r="F61" s="16" t="s">
        <v>95</v>
      </c>
    </row>
    <row r="62" spans="1:50" x14ac:dyDescent="0.25">
      <c r="AN62" t="s">
        <v>146</v>
      </c>
      <c r="AV62" t="s">
        <v>157</v>
      </c>
    </row>
    <row r="63" spans="1:50" x14ac:dyDescent="0.25">
      <c r="A63" t="s">
        <v>96</v>
      </c>
      <c r="B63" t="s">
        <v>43</v>
      </c>
      <c r="C63" t="s">
        <v>97</v>
      </c>
      <c r="Q63" t="s">
        <v>123</v>
      </c>
      <c r="Y63" t="s">
        <v>135</v>
      </c>
      <c r="AN63" s="13" t="s">
        <v>124</v>
      </c>
      <c r="AV63" t="s">
        <v>158</v>
      </c>
      <c r="AW63" t="s">
        <v>43</v>
      </c>
      <c r="AX63">
        <v>1</v>
      </c>
    </row>
    <row r="64" spans="1:50" x14ac:dyDescent="0.25">
      <c r="A64" t="s">
        <v>98</v>
      </c>
      <c r="B64" t="s">
        <v>43</v>
      </c>
      <c r="C64">
        <v>1</v>
      </c>
      <c r="I64" t="s">
        <v>117</v>
      </c>
      <c r="Q64" s="13" t="s">
        <v>124</v>
      </c>
      <c r="Y64" s="13" t="s">
        <v>136</v>
      </c>
      <c r="AG64" t="s">
        <v>141</v>
      </c>
      <c r="AN64" s="13" t="s">
        <v>144</v>
      </c>
      <c r="AV64" t="s">
        <v>114</v>
      </c>
      <c r="AW64" t="s">
        <v>43</v>
      </c>
      <c r="AX64">
        <v>1</v>
      </c>
    </row>
    <row r="65" spans="1:50" x14ac:dyDescent="0.25">
      <c r="A65" t="s">
        <v>99</v>
      </c>
      <c r="B65" t="s">
        <v>43</v>
      </c>
      <c r="C65">
        <v>0</v>
      </c>
      <c r="I65" s="13" t="s">
        <v>113</v>
      </c>
      <c r="J65" t="s">
        <v>43</v>
      </c>
      <c r="K65" s="13">
        <v>1</v>
      </c>
      <c r="Q65" t="s">
        <v>120</v>
      </c>
      <c r="Y65" t="s">
        <v>126</v>
      </c>
      <c r="AG65" s="13" t="s">
        <v>142</v>
      </c>
      <c r="AN65" t="s">
        <v>145</v>
      </c>
      <c r="AV65" t="s">
        <v>115</v>
      </c>
      <c r="AW65" t="s">
        <v>43</v>
      </c>
      <c r="AX65">
        <v>1</v>
      </c>
    </row>
    <row r="66" spans="1:50" x14ac:dyDescent="0.25">
      <c r="A66" t="s">
        <v>100</v>
      </c>
      <c r="B66" t="s">
        <v>43</v>
      </c>
      <c r="C66" t="s">
        <v>95</v>
      </c>
      <c r="D66" t="s">
        <v>43</v>
      </c>
      <c r="E66">
        <v>5</v>
      </c>
      <c r="I66" t="s">
        <v>114</v>
      </c>
      <c r="J66" t="s">
        <v>43</v>
      </c>
      <c r="K66">
        <v>1</v>
      </c>
      <c r="Q66" s="13" t="s">
        <v>122</v>
      </c>
      <c r="Y66" t="s">
        <v>128</v>
      </c>
      <c r="AG66" t="s">
        <v>134</v>
      </c>
      <c r="AN66" s="13" t="s">
        <v>143</v>
      </c>
      <c r="AO66" s="13">
        <f>EXP(-104.4)</f>
        <v>4.567263722284663E-46</v>
      </c>
      <c r="AV66" t="s">
        <v>159</v>
      </c>
      <c r="AW66" t="s">
        <v>43</v>
      </c>
      <c r="AX66">
        <v>1.609</v>
      </c>
    </row>
    <row r="67" spans="1:50" x14ac:dyDescent="0.25">
      <c r="C67" t="s">
        <v>101</v>
      </c>
      <c r="D67" t="s">
        <v>43</v>
      </c>
      <c r="E67">
        <f>1/5</f>
        <v>0.2</v>
      </c>
      <c r="F67" t="s">
        <v>102</v>
      </c>
      <c r="I67" s="13" t="s">
        <v>115</v>
      </c>
      <c r="J67" t="s">
        <v>43</v>
      </c>
      <c r="K67" s="13">
        <v>1</v>
      </c>
      <c r="Q67" t="s">
        <v>121</v>
      </c>
      <c r="Y67" t="s">
        <v>129</v>
      </c>
      <c r="AG67" t="s">
        <v>137</v>
      </c>
    </row>
    <row r="68" spans="1:50" ht="15.75" x14ac:dyDescent="0.25">
      <c r="A68" t="s">
        <v>103</v>
      </c>
      <c r="D68" t="s">
        <v>43</v>
      </c>
      <c r="E68" t="s">
        <v>104</v>
      </c>
      <c r="I68" t="s">
        <v>116</v>
      </c>
      <c r="J68" t="s">
        <v>43</v>
      </c>
      <c r="K68" t="s">
        <v>118</v>
      </c>
      <c r="Q68" t="s">
        <v>125</v>
      </c>
      <c r="S68" s="15">
        <f>EXP(2.098/0.015)</f>
        <v>5.5375994081689789E+60</v>
      </c>
      <c r="Y68" s="13" t="s">
        <v>130</v>
      </c>
      <c r="Z68" s="13">
        <f>1/105.9</f>
        <v>9.442870632672332E-3</v>
      </c>
      <c r="AG68" t="s">
        <v>138</v>
      </c>
      <c r="AI68">
        <f>EXP(4.757)</f>
        <v>116.39621295299656</v>
      </c>
    </row>
    <row r="69" spans="1:50" x14ac:dyDescent="0.25">
      <c r="A69" s="6" t="s">
        <v>101</v>
      </c>
      <c r="B69" s="6" t="s">
        <v>43</v>
      </c>
      <c r="C69" s="6">
        <f>0.2/319.82</f>
        <v>6.2535176036520549E-4</v>
      </c>
      <c r="D69" t="s">
        <v>105</v>
      </c>
      <c r="K69">
        <f>EXP(0.301)</f>
        <v>1.3512093415380155</v>
      </c>
      <c r="Y69" t="s">
        <v>131</v>
      </c>
      <c r="AG69" s="13" t="s">
        <v>139</v>
      </c>
    </row>
    <row r="70" spans="1:50" x14ac:dyDescent="0.25">
      <c r="A70" s="17" t="s">
        <v>101</v>
      </c>
      <c r="B70" s="17" t="s">
        <v>43</v>
      </c>
      <c r="C70" s="6">
        <f>C69/1000</f>
        <v>6.2535176036520546E-7</v>
      </c>
      <c r="D70" t="s">
        <v>106</v>
      </c>
      <c r="I70" s="13" t="s">
        <v>119</v>
      </c>
      <c r="Y70" t="s">
        <v>132</v>
      </c>
      <c r="AG70" s="13" t="s">
        <v>140</v>
      </c>
    </row>
    <row r="71" spans="1:50" x14ac:dyDescent="0.25">
      <c r="A71" s="17" t="s">
        <v>107</v>
      </c>
      <c r="B71" s="17" t="s">
        <v>43</v>
      </c>
      <c r="C71" s="6">
        <f>1/C70</f>
        <v>1599100</v>
      </c>
      <c r="D71" t="s">
        <v>108</v>
      </c>
      <c r="Y71" t="s">
        <v>133</v>
      </c>
    </row>
    <row r="72" spans="1:50" ht="31.5" x14ac:dyDescent="0.25">
      <c r="A72" s="18" t="s">
        <v>109</v>
      </c>
      <c r="B72" s="6"/>
      <c r="C72" s="6"/>
      <c r="Y72" t="s">
        <v>127</v>
      </c>
      <c r="Z72" s="13">
        <f>0.009443/1.652</f>
        <v>5.7161016949152542E-3</v>
      </c>
    </row>
    <row r="73" spans="1:50" x14ac:dyDescent="0.25">
      <c r="A73" s="17" t="s">
        <v>110</v>
      </c>
      <c r="B73" s="17" t="s">
        <v>43</v>
      </c>
      <c r="C73" s="6">
        <f>8.314*(273+25)*(LN(C71))</f>
        <v>35391.995929477605</v>
      </c>
    </row>
    <row r="74" spans="1:50" x14ac:dyDescent="0.25">
      <c r="A74" s="17" t="s">
        <v>111</v>
      </c>
      <c r="B74" s="17" t="s">
        <v>43</v>
      </c>
      <c r="C74" s="19">
        <f>C73/1000</f>
        <v>35.391995929477602</v>
      </c>
      <c r="D74" s="20" t="s">
        <v>112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J4" sqref="J4"/>
    </sheetView>
  </sheetViews>
  <sheetFormatPr defaultRowHeight="15" x14ac:dyDescent="0.25"/>
  <sheetData>
    <row r="2" spans="1:4" x14ac:dyDescent="0.25">
      <c r="A2" s="2" t="s">
        <v>37</v>
      </c>
      <c r="B2" s="2" t="s">
        <v>38</v>
      </c>
      <c r="C2" s="2" t="s">
        <v>39</v>
      </c>
      <c r="D2" s="10" t="s">
        <v>40</v>
      </c>
    </row>
    <row r="3" spans="1:4" x14ac:dyDescent="0.25">
      <c r="A3" s="11">
        <v>1</v>
      </c>
      <c r="B3" s="11">
        <v>3</v>
      </c>
      <c r="C3" s="11">
        <v>6</v>
      </c>
      <c r="D3" s="11">
        <f>B3-C3</f>
        <v>-3</v>
      </c>
    </row>
    <row r="4" spans="1:4" x14ac:dyDescent="0.25">
      <c r="A4" s="11">
        <v>2</v>
      </c>
      <c r="B4" s="11">
        <v>4</v>
      </c>
      <c r="C4" s="11">
        <v>6.5</v>
      </c>
      <c r="D4" s="11">
        <f t="shared" ref="D4:D10" si="0">B4-C4</f>
        <v>-2.5</v>
      </c>
    </row>
    <row r="5" spans="1:4" x14ac:dyDescent="0.25">
      <c r="A5" s="11">
        <v>3</v>
      </c>
      <c r="B5" s="11">
        <v>5</v>
      </c>
      <c r="C5" s="11">
        <v>6.6</v>
      </c>
      <c r="D5" s="11">
        <f t="shared" si="0"/>
        <v>-1.5999999999999996</v>
      </c>
    </row>
    <row r="6" spans="1:4" x14ac:dyDescent="0.25">
      <c r="A6" s="11">
        <v>4</v>
      </c>
      <c r="B6" s="11">
        <v>6</v>
      </c>
      <c r="C6" s="11">
        <v>6</v>
      </c>
      <c r="D6" s="11">
        <f t="shared" si="0"/>
        <v>0</v>
      </c>
    </row>
    <row r="7" spans="1:4" x14ac:dyDescent="0.25">
      <c r="A7" s="11">
        <v>5</v>
      </c>
      <c r="B7" s="11">
        <v>7</v>
      </c>
      <c r="C7" s="11">
        <v>6.5</v>
      </c>
      <c r="D7" s="11">
        <f t="shared" si="0"/>
        <v>0.5</v>
      </c>
    </row>
    <row r="8" spans="1:4" x14ac:dyDescent="0.25">
      <c r="A8" s="11">
        <v>6</v>
      </c>
      <c r="B8" s="11">
        <v>8</v>
      </c>
      <c r="C8" s="11">
        <v>6</v>
      </c>
      <c r="D8" s="11">
        <f t="shared" si="0"/>
        <v>2</v>
      </c>
    </row>
    <row r="9" spans="1:4" x14ac:dyDescent="0.25">
      <c r="A9" s="11">
        <v>7</v>
      </c>
      <c r="B9" s="11">
        <v>9</v>
      </c>
      <c r="C9" s="11">
        <v>6.2</v>
      </c>
      <c r="D9" s="11">
        <f t="shared" si="0"/>
        <v>2.8</v>
      </c>
    </row>
    <row r="10" spans="1:4" x14ac:dyDescent="0.25">
      <c r="A10" s="11">
        <v>8</v>
      </c>
      <c r="B10" s="11">
        <v>10</v>
      </c>
      <c r="C10" s="11">
        <v>6.2</v>
      </c>
      <c r="D10" s="11">
        <f t="shared" si="0"/>
        <v>3.8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Std Curve</vt:lpstr>
      <vt:lpstr>pH</vt:lpstr>
      <vt:lpstr>time</vt:lpstr>
      <vt:lpstr>Concentration</vt:lpstr>
      <vt:lpstr>pHpzc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ACER2019</dc:creator>
  <cp:lastModifiedBy>Acer</cp:lastModifiedBy>
  <dcterms:created xsi:type="dcterms:W3CDTF">2023-12-01T04:50:56Z</dcterms:created>
  <dcterms:modified xsi:type="dcterms:W3CDTF">2024-09-20T13:53:18Z</dcterms:modified>
</cp:coreProperties>
</file>