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ipmail-my.sharepoint.com/personal/fdiiaa_students_undip_ac_id/Documents/SKRIPSI/"/>
    </mc:Choice>
  </mc:AlternateContent>
  <xr:revisionPtr revIDLastSave="1" documentId="14_{ECA1B901-1919-41E1-9AFC-30F4F6E11949}" xr6:coauthVersionLast="47" xr6:coauthVersionMax="47" xr10:uidLastSave="{EE3DE0DE-514D-48D3-A903-02A17B1B94C5}"/>
  <bookViews>
    <workbookView xWindow="-120" yWindow="-120" windowWidth="20730" windowHeight="11040" activeTab="3" xr2:uid="{532B6BDF-0E70-4BE5-A93F-D97859445D81}"/>
  </bookViews>
  <sheets>
    <sheet name="IHDI FIX" sheetId="8" r:id="rId1"/>
    <sheet name="GV FIX" sheetId="3" r:id="rId2"/>
    <sheet name="FI FIX" sheetId="5" r:id="rId3"/>
    <sheet name="PVT FIX" sheetId="6" r:id="rId4"/>
    <sheet name="DATA FIX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F9" i="5"/>
  <c r="H20" i="6"/>
  <c r="E17" i="5"/>
  <c r="E18" i="5"/>
  <c r="BG5" i="8"/>
  <c r="AL5" i="8"/>
  <c r="E19" i="8"/>
  <c r="E5" i="5"/>
  <c r="E6" i="5"/>
  <c r="E7" i="5"/>
  <c r="E8" i="5"/>
  <c r="E9" i="5"/>
  <c r="E10" i="5"/>
  <c r="E11" i="5"/>
  <c r="E4" i="5"/>
  <c r="I6" i="5"/>
  <c r="I8" i="5"/>
  <c r="I9" i="5"/>
  <c r="I10" i="5"/>
  <c r="I11" i="5"/>
  <c r="I12" i="5"/>
  <c r="I13" i="5"/>
  <c r="I14" i="5"/>
  <c r="I15" i="5"/>
  <c r="I16" i="5"/>
  <c r="I17" i="5"/>
  <c r="I18" i="5"/>
  <c r="CF19" i="8"/>
  <c r="CF18" i="8"/>
  <c r="CF17" i="8"/>
  <c r="CF16" i="8"/>
  <c r="CF15" i="8"/>
  <c r="CF14" i="8"/>
  <c r="CF13" i="8"/>
  <c r="CF12" i="8"/>
  <c r="CF11" i="8"/>
  <c r="CF10" i="8"/>
  <c r="CF9" i="8"/>
  <c r="CF8" i="8"/>
  <c r="CF7" i="8"/>
  <c r="CF6" i="8"/>
  <c r="CF5" i="8"/>
  <c r="CB19" i="8"/>
  <c r="CB18" i="8"/>
  <c r="CB17" i="8"/>
  <c r="CB16" i="8"/>
  <c r="CB15" i="8"/>
  <c r="CB14" i="8"/>
  <c r="CB13" i="8"/>
  <c r="CB12" i="8"/>
  <c r="CB11" i="8"/>
  <c r="CB10" i="8"/>
  <c r="CB9" i="8"/>
  <c r="CB8" i="8"/>
  <c r="CB7" i="8"/>
  <c r="CB6" i="8"/>
  <c r="CB5" i="8"/>
  <c r="BX18" i="8"/>
  <c r="BX17" i="8"/>
  <c r="BX16" i="8"/>
  <c r="BX15" i="8"/>
  <c r="BX14" i="8"/>
  <c r="BX13" i="8"/>
  <c r="BX12" i="8"/>
  <c r="BX11" i="8"/>
  <c r="BX10" i="8"/>
  <c r="BX9" i="8"/>
  <c r="BX8" i="8"/>
  <c r="BX7" i="8"/>
  <c r="BX6" i="8"/>
  <c r="BX5" i="8"/>
  <c r="BT19" i="8"/>
  <c r="BT18" i="8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G19" i="8"/>
  <c r="BG18" i="8"/>
  <c r="BG17" i="8"/>
  <c r="BG16" i="8"/>
  <c r="BG15" i="8"/>
  <c r="BG14" i="8"/>
  <c r="BG13" i="8"/>
  <c r="BG12" i="8"/>
  <c r="BG11" i="8"/>
  <c r="BG10" i="8"/>
  <c r="BG9" i="8"/>
  <c r="BG8" i="8"/>
  <c r="BG7" i="8"/>
  <c r="BG6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L19" i="8"/>
  <c r="AL18" i="8"/>
  <c r="AL17" i="8"/>
  <c r="AL16" i="8"/>
  <c r="AL15" i="8"/>
  <c r="AL14" i="8"/>
  <c r="AL13" i="8"/>
  <c r="AL12" i="8"/>
  <c r="AL11" i="8"/>
  <c r="AL10" i="8"/>
  <c r="AL9" i="8"/>
  <c r="AL8" i="8"/>
  <c r="AL7" i="8"/>
  <c r="AL6" i="8"/>
  <c r="AH19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I19" i="8"/>
  <c r="I5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CG8" i="8" l="1"/>
  <c r="CG12" i="8"/>
  <c r="CG16" i="8"/>
  <c r="CG9" i="8"/>
  <c r="CG13" i="8"/>
  <c r="CG17" i="8"/>
  <c r="CG6" i="8"/>
  <c r="CG10" i="8"/>
  <c r="CG14" i="8"/>
  <c r="CG18" i="8"/>
  <c r="CG5" i="8"/>
  <c r="CG7" i="8"/>
  <c r="CG11" i="8"/>
  <c r="CG15" i="8"/>
  <c r="V17" i="8"/>
  <c r="V13" i="8"/>
  <c r="V9" i="8"/>
  <c r="V16" i="8"/>
  <c r="V12" i="8"/>
  <c r="V8" i="8"/>
  <c r="AQ6" i="8"/>
  <c r="AQ10" i="8"/>
  <c r="AQ14" i="8"/>
  <c r="AQ18" i="8"/>
  <c r="BL6" i="8"/>
  <c r="BL10" i="8"/>
  <c r="BL14" i="8"/>
  <c r="BL18" i="8"/>
  <c r="V5" i="8"/>
  <c r="V15" i="8"/>
  <c r="V11" i="8"/>
  <c r="V7" i="8"/>
  <c r="BL7" i="8"/>
  <c r="BL11" i="8"/>
  <c r="BL15" i="8"/>
  <c r="BL19" i="8"/>
  <c r="V14" i="8"/>
  <c r="V6" i="8"/>
  <c r="AQ8" i="8"/>
  <c r="AQ12" i="8"/>
  <c r="AQ16" i="8"/>
  <c r="AQ7" i="8"/>
  <c r="AQ11" i="8"/>
  <c r="AQ15" i="8"/>
  <c r="AQ19" i="8"/>
  <c r="BL8" i="8"/>
  <c r="BL12" i="8"/>
  <c r="BL16" i="8"/>
  <c r="BL5" i="8"/>
  <c r="V18" i="8"/>
  <c r="V10" i="8"/>
  <c r="AQ5" i="8"/>
  <c r="AQ9" i="8"/>
  <c r="AQ13" i="8"/>
  <c r="AQ17" i="8"/>
  <c r="BL9" i="8"/>
  <c r="BL13" i="8"/>
  <c r="BL17" i="8"/>
  <c r="BU19" i="8" l="1"/>
  <c r="BX19" i="8" s="1"/>
  <c r="CG19" i="8" s="1"/>
  <c r="J19" i="8"/>
  <c r="M19" i="8" s="1"/>
  <c r="V19" i="8" s="1"/>
  <c r="E5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D16" i="5"/>
  <c r="E16" i="5" s="1"/>
  <c r="D15" i="5"/>
  <c r="E15" i="5" s="1"/>
  <c r="D14" i="5"/>
  <c r="E14" i="5" s="1"/>
  <c r="D13" i="5"/>
  <c r="E13" i="5" s="1"/>
  <c r="D12" i="5"/>
  <c r="E12" i="5" s="1"/>
  <c r="H7" i="5"/>
  <c r="I7" i="5" s="1"/>
  <c r="H5" i="5"/>
  <c r="I5" i="5" s="1"/>
  <c r="H4" i="5"/>
  <c r="I4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G9" i="5"/>
  <c r="F8" i="5"/>
  <c r="G8" i="5" s="1"/>
  <c r="F7" i="5"/>
  <c r="G7" i="5" s="1"/>
  <c r="F6" i="5"/>
  <c r="G6" i="5" s="1"/>
  <c r="F5" i="5"/>
  <c r="G5" i="5" s="1"/>
  <c r="F4" i="5"/>
  <c r="G4" i="5" s="1"/>
</calcChain>
</file>

<file path=xl/sharedStrings.xml><?xml version="1.0" encoding="utf-8"?>
<sst xmlns="http://schemas.openxmlformats.org/spreadsheetml/2006/main" count="241" uniqueCount="66">
  <si>
    <t>Diin</t>
  </si>
  <si>
    <t>Nafs</t>
  </si>
  <si>
    <t>Angka Harapan Hidup</t>
  </si>
  <si>
    <t>Aql</t>
  </si>
  <si>
    <t>Maal</t>
  </si>
  <si>
    <t xml:space="preserve">PNB per kapita (USD)  </t>
  </si>
  <si>
    <t>Nasl</t>
  </si>
  <si>
    <t>mortality rate/1000 infant</t>
  </si>
  <si>
    <t xml:space="preserve">IHDI </t>
  </si>
  <si>
    <t>INDO</t>
  </si>
  <si>
    <t>MALAY</t>
  </si>
  <si>
    <t>SINGA</t>
  </si>
  <si>
    <t>BRUNEI</t>
  </si>
  <si>
    <t>GOVERNANCE INDEX</t>
  </si>
  <si>
    <t>Voice and Accountability (VA)</t>
  </si>
  <si>
    <t>Government Effectiveness (GE)</t>
  </si>
  <si>
    <t>Political Stability NoViolence (PV)</t>
  </si>
  <si>
    <t>Regulatory Quality (RQ)</t>
  </si>
  <si>
    <t>Rule of Law (RL)</t>
  </si>
  <si>
    <t>Control of Corruption (CC)</t>
  </si>
  <si>
    <t>USD</t>
  </si>
  <si>
    <t>POVERTY</t>
  </si>
  <si>
    <t>2.15 dollar</t>
  </si>
  <si>
    <t>Jumlah dalam Juta</t>
  </si>
  <si>
    <t>IHDI</t>
  </si>
  <si>
    <t>INDONESIA</t>
  </si>
  <si>
    <t>MALAYSIA</t>
  </si>
  <si>
    <t>SINGAPURA</t>
  </si>
  <si>
    <t>BRUNEI DARRUSSALAM</t>
  </si>
  <si>
    <t xml:space="preserve">mortality rate/1000 infant </t>
  </si>
  <si>
    <t>Crime Rate/100k population</t>
  </si>
  <si>
    <t>Primary School Enrollment</t>
  </si>
  <si>
    <t>% at national poverty line</t>
  </si>
  <si>
    <t>Under 2.15 dollar (%)</t>
  </si>
  <si>
    <t>Under 2.15 dollar (total population dalam juta)</t>
  </si>
  <si>
    <t>% population</t>
  </si>
  <si>
    <t>Under 2.15 dollar</t>
  </si>
  <si>
    <t>total national pov line (juta)</t>
  </si>
  <si>
    <t>Total Population under 2.15</t>
  </si>
  <si>
    <t>%pov all</t>
  </si>
  <si>
    <t>Indeks Diin</t>
  </si>
  <si>
    <t>Min Value</t>
  </si>
  <si>
    <t>Max Value</t>
  </si>
  <si>
    <t>Indeks Nafs</t>
  </si>
  <si>
    <t>Indeks Aql</t>
  </si>
  <si>
    <t>Indeks Nasl</t>
  </si>
  <si>
    <t>Indeks Maal</t>
  </si>
  <si>
    <t>INA</t>
  </si>
  <si>
    <t>SGP</t>
  </si>
  <si>
    <t>YEAR</t>
  </si>
  <si>
    <t xml:space="preserve"> USD </t>
  </si>
  <si>
    <t>USD (Millions)</t>
  </si>
  <si>
    <t>CODE</t>
  </si>
  <si>
    <t>Y (PVT)</t>
  </si>
  <si>
    <t>X1 (I-HDI)</t>
  </si>
  <si>
    <t>X2 (FI)</t>
  </si>
  <si>
    <t>X3 (VA)</t>
  </si>
  <si>
    <t>X4 (PV)</t>
  </si>
  <si>
    <t>X5 GE</t>
  </si>
  <si>
    <t>X6 RQ</t>
  </si>
  <si>
    <t>X7 RL</t>
  </si>
  <si>
    <t>X8 CC</t>
  </si>
  <si>
    <t>Tahun</t>
  </si>
  <si>
    <t>BRUNEI DARUSSALAM</t>
  </si>
  <si>
    <t>Total ZISWAF (Rp)</t>
  </si>
  <si>
    <t>Total ZISWAF (RM)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</si>
</sst>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.##########"/>
    <numFmt numFmtId="166" formatCode="0.0"/>
    <numFmt numFmtId="167" formatCode="#,##0.0;[Red]#,##0.0"/>
    <numFmt numFmtId="170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NumberFormat="1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/>
    <xf numFmtId="2" fontId="2" fillId="3" borderId="1" xfId="0" applyNumberFormat="1" applyFont="1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3" borderId="3" xfId="0" applyFill="1" applyBorder="1" applyAlignment="1">
      <alignment horizontal="center"/>
    </xf>
    <xf numFmtId="43" fontId="0" fillId="0" borderId="1" xfId="1" applyFont="1" applyBorder="1"/>
    <xf numFmtId="43" fontId="0" fillId="3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0" xfId="0" applyFont="1"/>
    <xf numFmtId="43" fontId="0" fillId="0" borderId="0" xfId="0" applyNumberFormat="1"/>
    <xf numFmtId="0" fontId="0" fillId="3" borderId="1" xfId="0" applyFill="1" applyBorder="1" applyAlignment="1">
      <alignment horizontal="center" wrapText="1"/>
    </xf>
    <xf numFmtId="164" fontId="0" fillId="3" borderId="9" xfId="1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9" xfId="0" applyFill="1" applyBorder="1"/>
    <xf numFmtId="0" fontId="0" fillId="3" borderId="19" xfId="0" applyFill="1" applyBorder="1"/>
    <xf numFmtId="0" fontId="0" fillId="3" borderId="17" xfId="0" applyFill="1" applyBorder="1"/>
    <xf numFmtId="0" fontId="0" fillId="3" borderId="18" xfId="0" applyFill="1" applyBorder="1"/>
    <xf numFmtId="0" fontId="3" fillId="0" borderId="0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/>
    <xf numFmtId="0" fontId="0" fillId="0" borderId="1" xfId="0" applyFont="1" applyBorder="1" applyAlignment="1"/>
    <xf numFmtId="166" fontId="8" fillId="0" borderId="0" xfId="0" applyNumberFormat="1" applyFont="1" applyAlignment="1">
      <alignment horizontal="center"/>
    </xf>
    <xf numFmtId="166" fontId="0" fillId="0" borderId="1" xfId="0" applyNumberFormat="1" applyFont="1" applyBorder="1" applyAlignment="1"/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43" fontId="7" fillId="0" borderId="0" xfId="1" applyFont="1" applyFill="1" applyBorder="1" applyAlignmen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3" fontId="0" fillId="3" borderId="0" xfId="0" applyNumberFormat="1" applyFill="1" applyBorder="1" applyAlignment="1">
      <alignment horizontal="right"/>
    </xf>
    <xf numFmtId="43" fontId="0" fillId="3" borderId="1" xfId="1" applyFont="1" applyFill="1" applyBorder="1" applyAlignment="1">
      <alignment horizontal="center" wrapText="1"/>
    </xf>
    <xf numFmtId="43" fontId="6" fillId="0" borderId="0" xfId="1" applyFont="1" applyAlignment="1">
      <alignment horizontal="center"/>
    </xf>
    <xf numFmtId="43" fontId="0" fillId="0" borderId="1" xfId="0" applyNumberFormat="1" applyBorder="1"/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3" fillId="3" borderId="9" xfId="1" applyNumberFormat="1" applyFont="1" applyFill="1" applyBorder="1" applyAlignment="1">
      <alignment horizontal="center" vertical="center"/>
    </xf>
    <xf numFmtId="164" fontId="3" fillId="3" borderId="11" xfId="1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0" fillId="0" borderId="0" xfId="0" applyFill="1" applyBorder="1"/>
    <xf numFmtId="0" fontId="0" fillId="3" borderId="0" xfId="0" applyFill="1" applyBorder="1"/>
    <xf numFmtId="164" fontId="0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43" fontId="0" fillId="3" borderId="0" xfId="0" applyNumberFormat="1" applyFill="1" applyBorder="1"/>
    <xf numFmtId="43" fontId="0" fillId="3" borderId="0" xfId="1" applyNumberFormat="1" applyFont="1" applyFill="1" applyBorder="1" applyAlignment="1">
      <alignment horizontal="center" vertical="center"/>
    </xf>
    <xf numFmtId="43" fontId="3" fillId="3" borderId="0" xfId="1" applyNumberFormat="1" applyFont="1" applyFill="1" applyBorder="1" applyAlignment="1">
      <alignment horizontal="center" vertical="center"/>
    </xf>
    <xf numFmtId="0" fontId="3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43" fontId="3" fillId="2" borderId="1" xfId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1" xfId="0" applyFont="1" applyFill="1" applyBorder="1"/>
    <xf numFmtId="0" fontId="10" fillId="3" borderId="9" xfId="0" applyFont="1" applyFill="1" applyBorder="1"/>
    <xf numFmtId="0" fontId="10" fillId="3" borderId="1" xfId="0" applyFont="1" applyFill="1" applyBorder="1"/>
    <xf numFmtId="43" fontId="10" fillId="3" borderId="1" xfId="0" applyNumberFormat="1" applyFont="1" applyFill="1" applyBorder="1"/>
    <xf numFmtId="0" fontId="11" fillId="3" borderId="1" xfId="0" applyFont="1" applyFill="1" applyBorder="1" applyAlignment="1">
      <alignment horizontal="right" vertical="top"/>
    </xf>
    <xf numFmtId="2" fontId="10" fillId="3" borderId="1" xfId="0" applyNumberFormat="1" applyFont="1" applyFill="1" applyBorder="1"/>
    <xf numFmtId="165" fontId="10" fillId="3" borderId="1" xfId="0" applyNumberFormat="1" applyFont="1" applyFill="1" applyBorder="1" applyAlignment="1">
      <alignment horizontal="right"/>
    </xf>
    <xf numFmtId="0" fontId="12" fillId="3" borderId="1" xfId="0" applyFont="1" applyFill="1" applyBorder="1"/>
    <xf numFmtId="167" fontId="10" fillId="3" borderId="1" xfId="2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/>
    </xf>
    <xf numFmtId="166" fontId="12" fillId="3" borderId="1" xfId="0" applyNumberFormat="1" applyFont="1" applyFill="1" applyBorder="1"/>
    <xf numFmtId="166" fontId="10" fillId="3" borderId="1" xfId="0" applyNumberFormat="1" applyFont="1" applyFill="1" applyBorder="1"/>
    <xf numFmtId="0" fontId="10" fillId="3" borderId="23" xfId="0" applyFont="1" applyFill="1" applyBorder="1"/>
    <xf numFmtId="164" fontId="10" fillId="3" borderId="11" xfId="1" applyNumberFormat="1" applyFont="1" applyFill="1" applyBorder="1" applyAlignment="1">
      <alignment horizontal="center" vertical="center"/>
    </xf>
    <xf numFmtId="0" fontId="10" fillId="3" borderId="12" xfId="0" applyFont="1" applyFill="1" applyBorder="1"/>
    <xf numFmtId="170" fontId="10" fillId="3" borderId="12" xfId="0" applyNumberFormat="1" applyFont="1" applyFill="1" applyBorder="1"/>
    <xf numFmtId="0" fontId="11" fillId="3" borderId="12" xfId="0" applyFont="1" applyFill="1" applyBorder="1" applyAlignment="1">
      <alignment horizontal="right" vertical="top"/>
    </xf>
    <xf numFmtId="2" fontId="10" fillId="3" borderId="12" xfId="0" applyNumberFormat="1" applyFont="1" applyFill="1" applyBorder="1"/>
    <xf numFmtId="0" fontId="10" fillId="3" borderId="11" xfId="0" applyFont="1" applyFill="1" applyBorder="1"/>
    <xf numFmtId="43" fontId="10" fillId="3" borderId="12" xfId="0" applyNumberFormat="1" applyFont="1" applyFill="1" applyBorder="1"/>
    <xf numFmtId="165" fontId="10" fillId="3" borderId="12" xfId="0" applyNumberFormat="1" applyFont="1" applyFill="1" applyBorder="1" applyAlignment="1">
      <alignment horizontal="right"/>
    </xf>
    <xf numFmtId="167" fontId="10" fillId="3" borderId="12" xfId="2" applyNumberFormat="1" applyFont="1" applyFill="1" applyBorder="1" applyAlignment="1">
      <alignment horizontal="right" vertical="center"/>
    </xf>
    <xf numFmtId="0" fontId="12" fillId="3" borderId="12" xfId="0" applyFont="1" applyFill="1" applyBorder="1"/>
    <xf numFmtId="43" fontId="10" fillId="3" borderId="1" xfId="1" applyFont="1" applyFill="1" applyBorder="1"/>
    <xf numFmtId="43" fontId="10" fillId="3" borderId="12" xfId="1" applyFont="1" applyFill="1" applyBorder="1"/>
    <xf numFmtId="43" fontId="10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9" xfId="1" applyNumberFormat="1" applyFont="1" applyFill="1" applyBorder="1" applyAlignment="1">
      <alignment horizontal="center" vertical="center"/>
    </xf>
    <xf numFmtId="43" fontId="10" fillId="3" borderId="10" xfId="0" applyNumberFormat="1" applyFont="1" applyFill="1" applyBorder="1"/>
    <xf numFmtId="43" fontId="10" fillId="3" borderId="13" xfId="0" applyNumberFormat="1" applyFont="1" applyFill="1" applyBorder="1"/>
    <xf numFmtId="0" fontId="0" fillId="3" borderId="0" xfId="0" applyFill="1"/>
    <xf numFmtId="43" fontId="10" fillId="3" borderId="9" xfId="0" applyNumberFormat="1" applyFont="1" applyFill="1" applyBorder="1" applyAlignment="1">
      <alignment horizontal="right"/>
    </xf>
    <xf numFmtId="43" fontId="10" fillId="3" borderId="1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43" fontId="10" fillId="3" borderId="12" xfId="0" applyNumberFormat="1" applyFont="1" applyFill="1" applyBorder="1" applyAlignment="1">
      <alignment horizontal="right"/>
    </xf>
    <xf numFmtId="164" fontId="9" fillId="3" borderId="9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43" fontId="9" fillId="3" borderId="1" xfId="1" applyNumberFormat="1" applyFont="1" applyFill="1" applyBorder="1" applyAlignment="1">
      <alignment horizontal="center" vertical="center"/>
    </xf>
    <xf numFmtId="164" fontId="9" fillId="3" borderId="9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43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3" borderId="9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3" fontId="0" fillId="3" borderId="2" xfId="1" applyFont="1" applyFill="1" applyBorder="1" applyAlignment="1">
      <alignment horizontal="center"/>
    </xf>
    <xf numFmtId="43" fontId="0" fillId="3" borderId="3" xfId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43" fontId="9" fillId="3" borderId="9" xfId="1" applyNumberFormat="1" applyFont="1" applyFill="1" applyBorder="1" applyAlignment="1">
      <alignment horizontal="center" vertical="center"/>
    </xf>
    <xf numFmtId="43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3" fontId="0" fillId="0" borderId="22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0" fontId="9" fillId="3" borderId="2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164" fontId="9" fillId="3" borderId="9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1" xfId="2" xr:uid="{C24AFCC4-5BA3-4C0D-9625-0DEC862F0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AAF-5455-4CC6-A444-F9B3AD071F73}">
  <dimension ref="A1:CG39"/>
  <sheetViews>
    <sheetView zoomScaleNormal="100" workbookViewId="0">
      <pane xSplit="1" topLeftCell="B1" activePane="topRight" state="frozen"/>
      <selection activeCell="A2" sqref="A2"/>
      <selection pane="topRight" activeCell="R5" sqref="R5"/>
    </sheetView>
  </sheetViews>
  <sheetFormatPr defaultRowHeight="15" x14ac:dyDescent="0.25"/>
  <cols>
    <col min="1" max="1" width="9.28515625" style="17" bestFit="1" customWidth="1"/>
    <col min="2" max="2" width="15.42578125" bestFit="1" customWidth="1"/>
    <col min="3" max="3" width="7" style="44" customWidth="1"/>
    <col min="4" max="4" width="7.5703125" style="44" customWidth="1"/>
    <col min="5" max="5" width="7.5703125" style="20" customWidth="1"/>
    <col min="6" max="6" width="11.5703125" bestFit="1" customWidth="1"/>
    <col min="7" max="7" width="7" style="44" customWidth="1"/>
    <col min="8" max="8" width="7.5703125" style="44" customWidth="1"/>
    <col min="9" max="9" width="7.5703125" style="20" customWidth="1"/>
    <col min="10" max="10" width="12.140625" bestFit="1" customWidth="1"/>
    <col min="11" max="11" width="7" style="44" customWidth="1"/>
    <col min="12" max="12" width="7.5703125" style="44" customWidth="1"/>
    <col min="13" max="13" width="7.5703125" style="20" customWidth="1"/>
    <col min="14" max="14" width="12.28515625" bestFit="1" customWidth="1"/>
    <col min="15" max="15" width="7" style="44" customWidth="1"/>
    <col min="16" max="16" width="7.5703125" style="44" customWidth="1"/>
    <col min="17" max="17" width="7.5703125" style="20" customWidth="1"/>
    <col min="18" max="18" width="8.28515625" bestFit="1" customWidth="1"/>
    <col min="19" max="20" width="6.28515625" style="44" bestFit="1" customWidth="1"/>
    <col min="21" max="21" width="9.140625" style="20" bestFit="1" customWidth="1"/>
    <col min="22" max="22" width="10.42578125" style="100" bestFit="1" customWidth="1"/>
    <col min="23" max="23" width="9.28515625" bestFit="1" customWidth="1"/>
    <col min="24" max="24" width="7" style="44" customWidth="1"/>
    <col min="25" max="25" width="7.5703125" style="44" customWidth="1"/>
    <col min="26" max="26" width="7.5703125" style="20" customWidth="1"/>
    <col min="27" max="27" width="9.28515625" bestFit="1" customWidth="1"/>
    <col min="28" max="28" width="7" style="44" customWidth="1"/>
    <col min="29" max="29" width="7.5703125" style="44" customWidth="1"/>
    <col min="30" max="30" width="7.5703125" style="20" customWidth="1"/>
    <col min="31" max="31" width="10.7109375" bestFit="1" customWidth="1"/>
    <col min="32" max="32" width="7" style="44" customWidth="1"/>
    <col min="33" max="33" width="7.5703125" style="44" customWidth="1"/>
    <col min="34" max="34" width="7.5703125" style="20" customWidth="1"/>
    <col min="35" max="35" width="9.28515625" bestFit="1" customWidth="1"/>
    <col min="36" max="36" width="7" style="44" customWidth="1"/>
    <col min="37" max="37" width="7.5703125" style="44" customWidth="1"/>
    <col min="38" max="38" width="7.5703125" style="20" customWidth="1"/>
    <col min="39" max="39" width="11.5703125" bestFit="1" customWidth="1"/>
    <col min="40" max="40" width="6.7109375" style="44" bestFit="1" customWidth="1"/>
    <col min="41" max="41" width="6.28515625" style="44" bestFit="1" customWidth="1"/>
    <col min="42" max="42" width="9.140625" style="20" bestFit="1" customWidth="1"/>
    <col min="43" max="43" width="10.42578125" style="44" bestFit="1" customWidth="1"/>
    <col min="44" max="44" width="9.28515625" bestFit="1" customWidth="1"/>
    <col min="45" max="45" width="7" style="44" customWidth="1"/>
    <col min="46" max="46" width="7.5703125" style="44" customWidth="1"/>
    <col min="47" max="47" width="7.5703125" style="20" customWidth="1"/>
    <col min="48" max="48" width="9.28515625" bestFit="1" customWidth="1"/>
    <col min="49" max="49" width="7" style="44" customWidth="1"/>
    <col min="50" max="50" width="7.5703125" style="44" customWidth="1"/>
    <col min="51" max="51" width="7.5703125" style="20" customWidth="1"/>
    <col min="52" max="52" width="14.42578125" bestFit="1" customWidth="1"/>
    <col min="53" max="53" width="7" style="44" customWidth="1"/>
    <col min="54" max="54" width="7.5703125" style="44" customWidth="1"/>
    <col min="55" max="55" width="7.5703125" style="20" customWidth="1"/>
    <col min="56" max="56" width="9.28515625" bestFit="1" customWidth="1"/>
    <col min="57" max="57" width="7" style="44" customWidth="1"/>
    <col min="58" max="58" width="7.5703125" style="44" customWidth="1"/>
    <col min="59" max="59" width="7.5703125" style="20" customWidth="1"/>
    <col min="60" max="60" width="11.5703125" style="3" bestFit="1" customWidth="1"/>
    <col min="61" max="62" width="6.7109375" style="44" bestFit="1" customWidth="1"/>
    <col min="63" max="63" width="9.140625" style="20" bestFit="1" customWidth="1"/>
    <col min="64" max="64" width="10.42578125" style="44" bestFit="1" customWidth="1"/>
    <col min="65" max="65" width="10.85546875" style="2" bestFit="1" customWidth="1"/>
    <col min="66" max="66" width="7" style="44" customWidth="1"/>
    <col min="67" max="67" width="7.5703125" style="44" customWidth="1"/>
    <col min="68" max="68" width="7.5703125" style="20" customWidth="1"/>
    <col min="69" max="69" width="9.28515625" bestFit="1" customWidth="1"/>
    <col min="70" max="70" width="7" style="44" customWidth="1"/>
    <col min="71" max="71" width="7.5703125" style="44" customWidth="1"/>
    <col min="72" max="72" width="7.5703125" style="20" customWidth="1"/>
    <col min="73" max="73" width="13.140625" bestFit="1" customWidth="1"/>
    <col min="74" max="74" width="7" style="44" customWidth="1"/>
    <col min="75" max="75" width="7.5703125" style="44" customWidth="1"/>
    <col min="76" max="76" width="7.5703125" style="20" customWidth="1"/>
    <col min="77" max="77" width="9.28515625" bestFit="1" customWidth="1"/>
    <col min="78" max="78" width="7" style="44" customWidth="1"/>
    <col min="79" max="79" width="7.5703125" style="44" customWidth="1"/>
    <col min="80" max="80" width="7.5703125" style="20" customWidth="1"/>
    <col min="81" max="81" width="11.5703125" style="3" bestFit="1" customWidth="1"/>
    <col min="82" max="83" width="6.7109375" style="44" bestFit="1" customWidth="1"/>
    <col min="84" max="84" width="9.140625" style="20" bestFit="1" customWidth="1"/>
    <col min="85" max="85" width="10.42578125" style="44" bestFit="1" customWidth="1"/>
  </cols>
  <sheetData>
    <row r="1" spans="1:85" s="18" customFormat="1" ht="16.5" thickBot="1" x14ac:dyDescent="0.3">
      <c r="A1" s="149" t="s">
        <v>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1"/>
    </row>
    <row r="2" spans="1:85" s="28" customFormat="1" ht="15.75" x14ac:dyDescent="0.25">
      <c r="A2" s="146" t="s">
        <v>62</v>
      </c>
      <c r="B2" s="137" t="s">
        <v>25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9"/>
      <c r="W2" s="137" t="s">
        <v>26</v>
      </c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9"/>
      <c r="AR2" s="137" t="s">
        <v>27</v>
      </c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9"/>
      <c r="BM2" s="149" t="s">
        <v>28</v>
      </c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3"/>
    </row>
    <row r="3" spans="1:85" s="28" customFormat="1" ht="15.75" x14ac:dyDescent="0.25">
      <c r="A3" s="147"/>
      <c r="B3" s="106" t="s">
        <v>0</v>
      </c>
      <c r="C3" s="107"/>
      <c r="D3" s="107"/>
      <c r="E3" s="108"/>
      <c r="F3" s="142" t="s">
        <v>1</v>
      </c>
      <c r="G3" s="142"/>
      <c r="H3" s="142"/>
      <c r="I3" s="142"/>
      <c r="J3" s="142" t="s">
        <v>3</v>
      </c>
      <c r="K3" s="142"/>
      <c r="L3" s="142"/>
      <c r="M3" s="142"/>
      <c r="N3" s="136" t="s">
        <v>6</v>
      </c>
      <c r="O3" s="136"/>
      <c r="P3" s="136"/>
      <c r="Q3" s="136"/>
      <c r="R3" s="136" t="s">
        <v>4</v>
      </c>
      <c r="S3" s="136"/>
      <c r="T3" s="136"/>
      <c r="U3" s="136"/>
      <c r="V3" s="135" t="s">
        <v>24</v>
      </c>
      <c r="W3" s="154" t="s">
        <v>0</v>
      </c>
      <c r="X3" s="155"/>
      <c r="Y3" s="155"/>
      <c r="Z3" s="155"/>
      <c r="AA3" s="142" t="s">
        <v>1</v>
      </c>
      <c r="AB3" s="142"/>
      <c r="AC3" s="142"/>
      <c r="AD3" s="142"/>
      <c r="AE3" s="142" t="s">
        <v>3</v>
      </c>
      <c r="AF3" s="142"/>
      <c r="AG3" s="142"/>
      <c r="AH3" s="142"/>
      <c r="AI3" s="136" t="s">
        <v>6</v>
      </c>
      <c r="AJ3" s="136"/>
      <c r="AK3" s="136"/>
      <c r="AL3" s="136"/>
      <c r="AM3" s="136" t="s">
        <v>4</v>
      </c>
      <c r="AN3" s="136"/>
      <c r="AO3" s="136"/>
      <c r="AP3" s="136"/>
      <c r="AQ3" s="135" t="s">
        <v>24</v>
      </c>
      <c r="AR3" s="154" t="s">
        <v>0</v>
      </c>
      <c r="AS3" s="155"/>
      <c r="AT3" s="155"/>
      <c r="AU3" s="155"/>
      <c r="AV3" s="142" t="s">
        <v>1</v>
      </c>
      <c r="AW3" s="142"/>
      <c r="AX3" s="142"/>
      <c r="AY3" s="142"/>
      <c r="AZ3" s="142" t="s">
        <v>3</v>
      </c>
      <c r="BA3" s="142"/>
      <c r="BB3" s="142"/>
      <c r="BC3" s="142"/>
      <c r="BD3" s="136" t="s">
        <v>6</v>
      </c>
      <c r="BE3" s="136"/>
      <c r="BF3" s="136"/>
      <c r="BG3" s="136"/>
      <c r="BH3" s="136" t="s">
        <v>4</v>
      </c>
      <c r="BI3" s="136"/>
      <c r="BJ3" s="136"/>
      <c r="BK3" s="136"/>
      <c r="BL3" s="135" t="s">
        <v>24</v>
      </c>
      <c r="BM3" s="140" t="s">
        <v>0</v>
      </c>
      <c r="BN3" s="141"/>
      <c r="BO3" s="141"/>
      <c r="BP3" s="141"/>
      <c r="BQ3" s="142" t="s">
        <v>1</v>
      </c>
      <c r="BR3" s="142"/>
      <c r="BS3" s="142"/>
      <c r="BT3" s="142"/>
      <c r="BU3" s="142" t="s">
        <v>3</v>
      </c>
      <c r="BV3" s="142"/>
      <c r="BW3" s="142"/>
      <c r="BX3" s="142"/>
      <c r="BY3" s="136" t="s">
        <v>6</v>
      </c>
      <c r="BZ3" s="136"/>
      <c r="CA3" s="136"/>
      <c r="CB3" s="136"/>
      <c r="CC3" s="113" t="s">
        <v>4</v>
      </c>
      <c r="CD3" s="114"/>
      <c r="CE3" s="114"/>
      <c r="CF3" s="114"/>
      <c r="CG3" s="135" t="s">
        <v>24</v>
      </c>
    </row>
    <row r="4" spans="1:85" s="28" customFormat="1" ht="78.75" x14ac:dyDescent="0.25">
      <c r="A4" s="148"/>
      <c r="B4" s="109" t="s">
        <v>30</v>
      </c>
      <c r="C4" s="110" t="s">
        <v>42</v>
      </c>
      <c r="D4" s="110" t="s">
        <v>41</v>
      </c>
      <c r="E4" s="111" t="s">
        <v>40</v>
      </c>
      <c r="F4" s="112" t="s">
        <v>2</v>
      </c>
      <c r="G4" s="110" t="s">
        <v>42</v>
      </c>
      <c r="H4" s="110" t="s">
        <v>41</v>
      </c>
      <c r="I4" s="111" t="s">
        <v>43</v>
      </c>
      <c r="J4" s="112" t="s">
        <v>31</v>
      </c>
      <c r="K4" s="110" t="s">
        <v>42</v>
      </c>
      <c r="L4" s="110" t="s">
        <v>41</v>
      </c>
      <c r="M4" s="111" t="s">
        <v>44</v>
      </c>
      <c r="N4" s="112" t="s">
        <v>7</v>
      </c>
      <c r="O4" s="110" t="s">
        <v>42</v>
      </c>
      <c r="P4" s="110" t="s">
        <v>41</v>
      </c>
      <c r="Q4" s="111" t="s">
        <v>45</v>
      </c>
      <c r="R4" s="112" t="s">
        <v>5</v>
      </c>
      <c r="S4" s="110" t="s">
        <v>42</v>
      </c>
      <c r="T4" s="110" t="s">
        <v>41</v>
      </c>
      <c r="U4" s="111" t="s">
        <v>46</v>
      </c>
      <c r="V4" s="135"/>
      <c r="W4" s="109" t="s">
        <v>30</v>
      </c>
      <c r="X4" s="110" t="s">
        <v>42</v>
      </c>
      <c r="Y4" s="110" t="s">
        <v>41</v>
      </c>
      <c r="Z4" s="111" t="s">
        <v>40</v>
      </c>
      <c r="AA4" s="115" t="s">
        <v>2</v>
      </c>
      <c r="AB4" s="110" t="s">
        <v>42</v>
      </c>
      <c r="AC4" s="110" t="s">
        <v>41</v>
      </c>
      <c r="AD4" s="111" t="s">
        <v>43</v>
      </c>
      <c r="AE4" s="112" t="s">
        <v>31</v>
      </c>
      <c r="AF4" s="110" t="s">
        <v>42</v>
      </c>
      <c r="AG4" s="110" t="s">
        <v>41</v>
      </c>
      <c r="AH4" s="111" t="s">
        <v>44</v>
      </c>
      <c r="AI4" s="112" t="s">
        <v>29</v>
      </c>
      <c r="AJ4" s="110" t="s">
        <v>42</v>
      </c>
      <c r="AK4" s="110" t="s">
        <v>41</v>
      </c>
      <c r="AL4" s="111" t="s">
        <v>45</v>
      </c>
      <c r="AM4" s="112" t="s">
        <v>5</v>
      </c>
      <c r="AN4" s="110" t="s">
        <v>42</v>
      </c>
      <c r="AO4" s="110" t="s">
        <v>41</v>
      </c>
      <c r="AP4" s="111" t="s">
        <v>46</v>
      </c>
      <c r="AQ4" s="135"/>
      <c r="AR4" s="109" t="s">
        <v>30</v>
      </c>
      <c r="AS4" s="110" t="s">
        <v>42</v>
      </c>
      <c r="AT4" s="110" t="s">
        <v>41</v>
      </c>
      <c r="AU4" s="111" t="s">
        <v>40</v>
      </c>
      <c r="AV4" s="112" t="s">
        <v>2</v>
      </c>
      <c r="AW4" s="110" t="s">
        <v>42</v>
      </c>
      <c r="AX4" s="110" t="s">
        <v>41</v>
      </c>
      <c r="AY4" s="111" t="s">
        <v>43</v>
      </c>
      <c r="AZ4" s="112" t="s">
        <v>31</v>
      </c>
      <c r="BA4" s="110" t="s">
        <v>42</v>
      </c>
      <c r="BB4" s="110" t="s">
        <v>41</v>
      </c>
      <c r="BC4" s="111" t="s">
        <v>44</v>
      </c>
      <c r="BD4" s="112" t="s">
        <v>7</v>
      </c>
      <c r="BE4" s="110" t="s">
        <v>42</v>
      </c>
      <c r="BF4" s="110" t="s">
        <v>41</v>
      </c>
      <c r="BG4" s="111" t="s">
        <v>45</v>
      </c>
      <c r="BH4" s="116" t="s">
        <v>5</v>
      </c>
      <c r="BI4" s="110" t="s">
        <v>42</v>
      </c>
      <c r="BJ4" s="110" t="s">
        <v>41</v>
      </c>
      <c r="BK4" s="111" t="s">
        <v>46</v>
      </c>
      <c r="BL4" s="135"/>
      <c r="BM4" s="117" t="s">
        <v>30</v>
      </c>
      <c r="BN4" s="110" t="s">
        <v>42</v>
      </c>
      <c r="BO4" s="110" t="s">
        <v>41</v>
      </c>
      <c r="BP4" s="111" t="s">
        <v>40</v>
      </c>
      <c r="BQ4" s="112" t="s">
        <v>2</v>
      </c>
      <c r="BR4" s="110" t="s">
        <v>42</v>
      </c>
      <c r="BS4" s="110" t="s">
        <v>41</v>
      </c>
      <c r="BT4" s="111" t="s">
        <v>43</v>
      </c>
      <c r="BU4" s="112" t="s">
        <v>31</v>
      </c>
      <c r="BV4" s="110" t="s">
        <v>42</v>
      </c>
      <c r="BW4" s="110" t="s">
        <v>41</v>
      </c>
      <c r="BX4" s="111" t="s">
        <v>44</v>
      </c>
      <c r="BY4" s="112" t="s">
        <v>7</v>
      </c>
      <c r="BZ4" s="110" t="s">
        <v>42</v>
      </c>
      <c r="CA4" s="110" t="s">
        <v>41</v>
      </c>
      <c r="CB4" s="111" t="s">
        <v>45</v>
      </c>
      <c r="CC4" s="116" t="s">
        <v>5</v>
      </c>
      <c r="CD4" s="110" t="s">
        <v>42</v>
      </c>
      <c r="CE4" s="110" t="s">
        <v>41</v>
      </c>
      <c r="CF4" s="111" t="s">
        <v>46</v>
      </c>
      <c r="CG4" s="135"/>
    </row>
    <row r="5" spans="1:85" ht="15.75" x14ac:dyDescent="0.25">
      <c r="A5" s="69">
        <v>2007</v>
      </c>
      <c r="B5" s="70">
        <v>145</v>
      </c>
      <c r="C5" s="71">
        <v>149</v>
      </c>
      <c r="D5" s="71">
        <v>90</v>
      </c>
      <c r="E5" s="72">
        <f>(B5-D5)/(C5-D5)</f>
        <v>0.93220338983050843</v>
      </c>
      <c r="F5" s="73">
        <v>68.19</v>
      </c>
      <c r="G5" s="71">
        <v>70.52</v>
      </c>
      <c r="H5" s="71">
        <v>67.569999999999993</v>
      </c>
      <c r="I5" s="72">
        <f>(F5-H5)/(G5-H5)</f>
        <v>0.21016949152542508</v>
      </c>
      <c r="J5" s="74">
        <v>109.305770874023</v>
      </c>
      <c r="K5" s="71">
        <v>109.305770874023</v>
      </c>
      <c r="L5" s="71">
        <v>90.1439208984375</v>
      </c>
      <c r="M5" s="72">
        <f>(J5-L5)/(K5-L5)</f>
        <v>1</v>
      </c>
      <c r="N5" s="71">
        <v>31.2</v>
      </c>
      <c r="O5" s="71">
        <v>31.2</v>
      </c>
      <c r="P5" s="71">
        <v>18.899999999999999</v>
      </c>
      <c r="Q5" s="72">
        <f>(N5-P5)/(O5-P5)</f>
        <v>1</v>
      </c>
      <c r="R5" s="71">
        <v>1580</v>
      </c>
      <c r="S5" s="71">
        <v>4170</v>
      </c>
      <c r="T5" s="71">
        <v>1580</v>
      </c>
      <c r="U5" s="72">
        <f>(R5-T5)/(S5-T5)</f>
        <v>0</v>
      </c>
      <c r="V5" s="98">
        <f>(20%*E5)+(20%*I5)+(20%*M5)+(20%*Q5)+(20%*U5)</f>
        <v>0.62847457627118675</v>
      </c>
      <c r="W5" s="70">
        <v>746</v>
      </c>
      <c r="X5" s="71">
        <v>767</v>
      </c>
      <c r="Y5" s="71">
        <v>124.4</v>
      </c>
      <c r="Z5" s="72">
        <f>(W5-Y5)/(X5-Y5)</f>
        <v>0.9673202614379085</v>
      </c>
      <c r="AA5" s="73">
        <v>74.209999999999994</v>
      </c>
      <c r="AB5" s="73">
        <v>75.94</v>
      </c>
      <c r="AC5" s="73">
        <v>74.209999999999994</v>
      </c>
      <c r="AD5" s="72">
        <f>(AA5-AC5)/(AB5-AC5)</f>
        <v>0</v>
      </c>
      <c r="AE5" s="74">
        <v>97.950057983398395</v>
      </c>
      <c r="AF5" s="71">
        <v>106.8459</v>
      </c>
      <c r="AG5" s="71">
        <v>97.950057983398395</v>
      </c>
      <c r="AH5" s="72">
        <f>(AE5-AG5)/(AF5-AG5)</f>
        <v>0</v>
      </c>
      <c r="AI5" s="71">
        <v>7</v>
      </c>
      <c r="AJ5" s="71">
        <v>7</v>
      </c>
      <c r="AK5" s="71">
        <v>6.5</v>
      </c>
      <c r="AL5" s="72">
        <f>(AI5-AK5)/(AJ5-AK5)</f>
        <v>1</v>
      </c>
      <c r="AM5" s="92">
        <v>6540</v>
      </c>
      <c r="AN5" s="71">
        <v>10960</v>
      </c>
      <c r="AO5" s="71">
        <v>6540</v>
      </c>
      <c r="AP5" s="72">
        <f>(AM5-AO5)/(AN5-AO5)</f>
        <v>0</v>
      </c>
      <c r="AQ5" s="98">
        <f>(20%*Z5)+(20%*AD5)+(20%*AH5)+(20%*AL5)+(20%*AP5)</f>
        <v>0.39346405228758174</v>
      </c>
      <c r="AR5" s="70">
        <v>715</v>
      </c>
      <c r="AS5" s="71">
        <v>847</v>
      </c>
      <c r="AT5" s="71">
        <v>555</v>
      </c>
      <c r="AU5" s="72">
        <f>(AR5-AT5)/(AS5-AT5)</f>
        <v>0.54794520547945202</v>
      </c>
      <c r="AV5" s="75">
        <v>80.599999999999994</v>
      </c>
      <c r="AW5" s="75">
        <v>83.7</v>
      </c>
      <c r="AX5" s="75">
        <v>80.599999999999994</v>
      </c>
      <c r="AY5" s="72">
        <f>(AV5-AX5)/(AW5-AX5)</f>
        <v>0</v>
      </c>
      <c r="AZ5" s="74">
        <v>76.991547999999995</v>
      </c>
      <c r="BA5" s="71">
        <v>103.19295820000001</v>
      </c>
      <c r="BB5" s="71">
        <v>76.991547999999995</v>
      </c>
      <c r="BC5" s="72">
        <f>(AZ5-BB5)/(BA5-BB5)</f>
        <v>0</v>
      </c>
      <c r="BD5" s="75">
        <v>1.2</v>
      </c>
      <c r="BE5" s="75">
        <v>1.4</v>
      </c>
      <c r="BF5" s="75">
        <v>0.6</v>
      </c>
      <c r="BG5" s="72">
        <f>(BD5-BF5)/(BE5-BF5)</f>
        <v>0.75</v>
      </c>
      <c r="BH5" s="92">
        <v>36010</v>
      </c>
      <c r="BI5" s="71">
        <v>63000</v>
      </c>
      <c r="BJ5" s="71">
        <v>36010</v>
      </c>
      <c r="BK5" s="72">
        <f>(BH5-BJ5)/(BI5-BJ5)</f>
        <v>0</v>
      </c>
      <c r="BL5" s="98">
        <f>(20%*AU5)+(20%*AY5)+(20%*BC5)+(20%*BG5)+(20%*BK5)</f>
        <v>0.25958904109589043</v>
      </c>
      <c r="BM5" s="101">
        <v>0.79210000000000003</v>
      </c>
      <c r="BN5" s="102">
        <v>0.79210000000000003</v>
      </c>
      <c r="BO5" s="102">
        <v>0.25</v>
      </c>
      <c r="BP5" s="72">
        <f>(BM5-BO5)/(BN5-BO5)</f>
        <v>1</v>
      </c>
      <c r="BQ5" s="73">
        <v>74.819999999999993</v>
      </c>
      <c r="BR5" s="73">
        <v>74.86</v>
      </c>
      <c r="BS5" s="73">
        <v>74.64</v>
      </c>
      <c r="BT5" s="72">
        <f>(BQ5-BS5)/(BR5-BS5)</f>
        <v>0.81818181818178881</v>
      </c>
      <c r="BU5" s="74">
        <v>109.686958312988</v>
      </c>
      <c r="BV5" s="71">
        <v>109.686958312988</v>
      </c>
      <c r="BW5" s="71">
        <v>98.313865661621094</v>
      </c>
      <c r="BX5" s="72">
        <f>(BU5-BW5)/(BV5-BW5)</f>
        <v>1</v>
      </c>
      <c r="BY5" s="76">
        <v>7.6</v>
      </c>
      <c r="BZ5" s="76">
        <v>9.3000000000000007</v>
      </c>
      <c r="CA5" s="77">
        <v>5.9250481410161457</v>
      </c>
      <c r="CB5" s="72">
        <f>(BY5-CA5)/(BZ5-CA5)</f>
        <v>0.49628911136177084</v>
      </c>
      <c r="CC5" s="92">
        <v>30620</v>
      </c>
      <c r="CD5" s="71">
        <v>44520</v>
      </c>
      <c r="CE5" s="71">
        <v>29030</v>
      </c>
      <c r="CF5" s="72">
        <f>(CC5-CE5)/(CD5-CE5)</f>
        <v>0.10264686894770819</v>
      </c>
      <c r="CG5" s="98">
        <f>(20%*BP5)+(20%*BT5)+(20%*BX5)+(20%*CB5)+(20%*CF5)</f>
        <v>0.68342355969825352</v>
      </c>
    </row>
    <row r="6" spans="1:85" ht="15.75" x14ac:dyDescent="0.25">
      <c r="A6" s="69">
        <v>2008</v>
      </c>
      <c r="B6" s="70">
        <v>141</v>
      </c>
      <c r="C6" s="71">
        <v>149</v>
      </c>
      <c r="D6" s="71">
        <v>90</v>
      </c>
      <c r="E6" s="72">
        <f t="shared" ref="E6:E18" si="0">(B6-D6)/(C6-D6)</f>
        <v>0.86440677966101698</v>
      </c>
      <c r="F6" s="73">
        <v>68.23</v>
      </c>
      <c r="G6" s="71">
        <v>70.52</v>
      </c>
      <c r="H6" s="71">
        <v>67.569999999999993</v>
      </c>
      <c r="I6" s="72">
        <f t="shared" ref="I6:I18" si="1">(F6-H6)/(G6-H6)</f>
        <v>0.22372881355932547</v>
      </c>
      <c r="J6" s="74">
        <v>107.822540283203</v>
      </c>
      <c r="K6" s="71">
        <v>109.305770874023</v>
      </c>
      <c r="L6" s="71">
        <v>90.1439208984375</v>
      </c>
      <c r="M6" s="72">
        <f t="shared" ref="M6:M18" si="2">(J6-L6)/(K6-L6)</f>
        <v>0.9225946037199011</v>
      </c>
      <c r="N6" s="71">
        <v>30.1</v>
      </c>
      <c r="O6" s="71">
        <v>31.2</v>
      </c>
      <c r="P6" s="71">
        <v>18.899999999999999</v>
      </c>
      <c r="Q6" s="72">
        <f t="shared" ref="Q6:Q18" si="3">(N6-P6)/(O6-P6)</f>
        <v>0.91056910569105709</v>
      </c>
      <c r="R6" s="71">
        <v>1920</v>
      </c>
      <c r="S6" s="71">
        <v>4170</v>
      </c>
      <c r="T6" s="71">
        <v>1580</v>
      </c>
      <c r="U6" s="72">
        <f t="shared" ref="U6:U18" si="4">(R6-T6)/(S6-T6)</f>
        <v>0.13127413127413126</v>
      </c>
      <c r="V6" s="98">
        <f t="shared" ref="V6:V19" si="5">(20%*E6)+(20%*I6)+(20%*M6)+(20%*Q6)+(20%*U6)</f>
        <v>0.61051468678108634</v>
      </c>
      <c r="W6" s="70">
        <v>767</v>
      </c>
      <c r="X6" s="71">
        <v>767</v>
      </c>
      <c r="Y6" s="71">
        <v>124.4</v>
      </c>
      <c r="Z6" s="72">
        <f t="shared" ref="Z6:Z18" si="6">(W6-Y6)/(X6-Y6)</f>
        <v>1</v>
      </c>
      <c r="AA6" s="73">
        <v>74.25</v>
      </c>
      <c r="AB6" s="73">
        <v>75.94</v>
      </c>
      <c r="AC6" s="73">
        <v>74.209999999999994</v>
      </c>
      <c r="AD6" s="72">
        <f t="shared" ref="AD6:AD18" si="7">(AA6-AC6)/(AB6-AC6)</f>
        <v>2.3121387283240556E-2</v>
      </c>
      <c r="AE6" s="74">
        <v>97.980300903320298</v>
      </c>
      <c r="AF6" s="71">
        <v>106.8459</v>
      </c>
      <c r="AG6" s="71">
        <v>97.950057983398395</v>
      </c>
      <c r="AH6" s="72">
        <f t="shared" ref="AH6:AH19" si="8">(AE6-AG6)/(AF6-AG6)</f>
        <v>3.3996691786413761E-3</v>
      </c>
      <c r="AI6" s="71">
        <v>7</v>
      </c>
      <c r="AJ6" s="71">
        <v>7</v>
      </c>
      <c r="AK6" s="71">
        <v>6.5</v>
      </c>
      <c r="AL6" s="72">
        <f t="shared" ref="AL6:AL18" si="9">(AI6-AK6)/(AJ6-AK6)</f>
        <v>1</v>
      </c>
      <c r="AM6" s="92">
        <v>7400</v>
      </c>
      <c r="AN6" s="71">
        <v>10960</v>
      </c>
      <c r="AO6" s="71">
        <v>6540</v>
      </c>
      <c r="AP6" s="72">
        <f t="shared" ref="AP6:AP18" si="10">(AM6-AO6)/(AN6-AO6)</f>
        <v>0.19457013574660634</v>
      </c>
      <c r="AQ6" s="98">
        <f t="shared" ref="AQ6:AQ19" si="11">(20%*Z6)+(20%*AD6)+(20%*AH6)+(20%*AL6)+(20%*AP6)</f>
        <v>0.44421823844169772</v>
      </c>
      <c r="AR6" s="70">
        <v>684</v>
      </c>
      <c r="AS6" s="71">
        <v>847</v>
      </c>
      <c r="AT6" s="71">
        <v>555</v>
      </c>
      <c r="AU6" s="72">
        <f t="shared" ref="AU6:AU18" si="12">(AR6-AT6)/(AS6-AT6)</f>
        <v>0.44178082191780821</v>
      </c>
      <c r="AV6" s="75">
        <v>80.900000000000006</v>
      </c>
      <c r="AW6" s="75">
        <v>83.7</v>
      </c>
      <c r="AX6" s="75">
        <v>80.599999999999994</v>
      </c>
      <c r="AY6" s="72">
        <f t="shared" ref="AY6:AY18" si="13">(AV6-AX6)/(AW6-AX6)</f>
        <v>9.6774193548390494E-2</v>
      </c>
      <c r="AZ6" s="74">
        <v>80.362369000000001</v>
      </c>
      <c r="BA6" s="71">
        <v>103.19295820000001</v>
      </c>
      <c r="BB6" s="71">
        <v>76.991547999999995</v>
      </c>
      <c r="BC6" s="72">
        <f t="shared" ref="BC6:BC18" si="14">(AZ6-BB6)/(BA6-BB6)</f>
        <v>0.12865036554406545</v>
      </c>
      <c r="BD6" s="75">
        <v>1.3</v>
      </c>
      <c r="BE6" s="75">
        <v>1.4</v>
      </c>
      <c r="BF6" s="75">
        <v>0.6</v>
      </c>
      <c r="BG6" s="72">
        <f t="shared" ref="BG6:BG18" si="15">(BD6-BF6)/(BE6-BF6)</f>
        <v>0.87500000000000011</v>
      </c>
      <c r="BH6" s="92">
        <v>37230</v>
      </c>
      <c r="BI6" s="71">
        <v>63000</v>
      </c>
      <c r="BJ6" s="71">
        <v>36010</v>
      </c>
      <c r="BK6" s="72">
        <f t="shared" ref="BK6:BK18" si="16">(BH6-BJ6)/(BI6-BJ6)</f>
        <v>4.5201926639496112E-2</v>
      </c>
      <c r="BL6" s="98">
        <f t="shared" ref="BL6:BL19" si="17">(20%*AU6)+(20%*AY6)+(20%*BC6)+(20%*BG6)+(20%*BK6)</f>
        <v>0.3174814615299521</v>
      </c>
      <c r="BM6" s="101">
        <v>0.26</v>
      </c>
      <c r="BN6" s="102">
        <v>0.79210000000000003</v>
      </c>
      <c r="BO6" s="102">
        <v>0.25</v>
      </c>
      <c r="BP6" s="72">
        <f t="shared" ref="BP6:BP18" si="18">(BM6-BO6)/(BN6-BO6)</f>
        <v>1.844678103670911E-2</v>
      </c>
      <c r="BQ6" s="73">
        <v>74.84</v>
      </c>
      <c r="BR6" s="73">
        <v>74.86</v>
      </c>
      <c r="BS6" s="73">
        <v>74.64</v>
      </c>
      <c r="BT6" s="72">
        <f t="shared" ref="BT6:BT18" si="19">(BQ6-BS6)/(BR6-BS6)</f>
        <v>0.90909090909092671</v>
      </c>
      <c r="BU6" s="74">
        <v>107.62241363525401</v>
      </c>
      <c r="BV6" s="71">
        <v>109.686958312988</v>
      </c>
      <c r="BW6" s="71">
        <v>98.313865661621094</v>
      </c>
      <c r="BX6" s="72">
        <f t="shared" ref="BX6:BX18" si="20">(BU6-BW6)/(BV6-BW6)</f>
        <v>0.81847112821279455</v>
      </c>
      <c r="BY6" s="76">
        <v>7</v>
      </c>
      <c r="BZ6" s="76">
        <v>9.3000000000000007</v>
      </c>
      <c r="CA6" s="77">
        <v>5.9250481410161457</v>
      </c>
      <c r="CB6" s="72">
        <f t="shared" ref="CB6:CB18" si="21">(BY6-CA6)/(BZ6-CA6)</f>
        <v>0.31850879772474899</v>
      </c>
      <c r="CC6" s="92">
        <v>33690</v>
      </c>
      <c r="CD6" s="71">
        <v>44520</v>
      </c>
      <c r="CE6" s="71">
        <v>29030</v>
      </c>
      <c r="CF6" s="72">
        <f t="shared" ref="CF6:CF18" si="22">(CC6-CE6)/(CD6-CE6)</f>
        <v>0.30083925112976112</v>
      </c>
      <c r="CG6" s="98">
        <f t="shared" ref="CG6:CG19" si="23">(20%*BP6)+(20%*BT6)+(20%*BX6)+(20%*CB6)+(20%*CF6)</f>
        <v>0.47307137343898814</v>
      </c>
    </row>
    <row r="7" spans="1:85" ht="15.75" x14ac:dyDescent="0.25">
      <c r="A7" s="69">
        <v>2009</v>
      </c>
      <c r="B7" s="70">
        <v>148</v>
      </c>
      <c r="C7" s="71">
        <v>149</v>
      </c>
      <c r="D7" s="71">
        <v>90</v>
      </c>
      <c r="E7" s="72">
        <f t="shared" si="0"/>
        <v>0.98305084745762716</v>
      </c>
      <c r="F7" s="73">
        <v>68.489999999999995</v>
      </c>
      <c r="G7" s="71">
        <v>70.52</v>
      </c>
      <c r="H7" s="71">
        <v>67.569999999999993</v>
      </c>
      <c r="I7" s="72">
        <f t="shared" si="1"/>
        <v>0.31186440677966132</v>
      </c>
      <c r="J7" s="74">
        <v>108.549240112305</v>
      </c>
      <c r="K7" s="71">
        <v>109.305770874023</v>
      </c>
      <c r="L7" s="71">
        <v>90.1439208984375</v>
      </c>
      <c r="M7" s="72">
        <f t="shared" si="2"/>
        <v>0.96051890800304207</v>
      </c>
      <c r="N7" s="71">
        <v>29</v>
      </c>
      <c r="O7" s="71">
        <v>31.2</v>
      </c>
      <c r="P7" s="71">
        <v>18.899999999999999</v>
      </c>
      <c r="Q7" s="72">
        <f t="shared" si="3"/>
        <v>0.82113821138211385</v>
      </c>
      <c r="R7" s="71">
        <v>2130</v>
      </c>
      <c r="S7" s="71">
        <v>4170</v>
      </c>
      <c r="T7" s="71">
        <v>1580</v>
      </c>
      <c r="U7" s="72">
        <f t="shared" si="4"/>
        <v>0.21235521235521235</v>
      </c>
      <c r="V7" s="98">
        <f t="shared" si="5"/>
        <v>0.65778551719553147</v>
      </c>
      <c r="W7" s="70">
        <v>753.6</v>
      </c>
      <c r="X7" s="71">
        <v>767</v>
      </c>
      <c r="Y7" s="71">
        <v>124.4</v>
      </c>
      <c r="Z7" s="72">
        <f t="shared" si="6"/>
        <v>0.97914721444133213</v>
      </c>
      <c r="AA7" s="73">
        <v>74.23</v>
      </c>
      <c r="AB7" s="73">
        <v>75.94</v>
      </c>
      <c r="AC7" s="73">
        <v>74.209999999999994</v>
      </c>
      <c r="AD7" s="72">
        <f t="shared" si="7"/>
        <v>1.1560693641624384E-2</v>
      </c>
      <c r="AE7" s="74">
        <v>98.658760070800795</v>
      </c>
      <c r="AF7" s="71">
        <v>106.8459</v>
      </c>
      <c r="AG7" s="71">
        <v>97.950057983398395</v>
      </c>
      <c r="AH7" s="72">
        <f t="shared" si="8"/>
        <v>7.9666667425051615E-2</v>
      </c>
      <c r="AI7" s="71">
        <v>7</v>
      </c>
      <c r="AJ7" s="71">
        <v>7</v>
      </c>
      <c r="AK7" s="71">
        <v>6.5</v>
      </c>
      <c r="AL7" s="72">
        <f t="shared" si="9"/>
        <v>1</v>
      </c>
      <c r="AM7" s="92">
        <v>7470</v>
      </c>
      <c r="AN7" s="71">
        <v>10960</v>
      </c>
      <c r="AO7" s="71">
        <v>6540</v>
      </c>
      <c r="AP7" s="72">
        <f t="shared" si="10"/>
        <v>0.21040723981900453</v>
      </c>
      <c r="AQ7" s="98">
        <f t="shared" si="11"/>
        <v>0.45615636306540258</v>
      </c>
      <c r="AR7" s="70">
        <v>665</v>
      </c>
      <c r="AS7" s="71">
        <v>847</v>
      </c>
      <c r="AT7" s="71">
        <v>555</v>
      </c>
      <c r="AU7" s="72">
        <f t="shared" si="12"/>
        <v>0.37671232876712329</v>
      </c>
      <c r="AV7" s="75">
        <v>81.400000000000006</v>
      </c>
      <c r="AW7" s="75">
        <v>83.7</v>
      </c>
      <c r="AX7" s="75">
        <v>80.599999999999994</v>
      </c>
      <c r="AY7" s="72">
        <f t="shared" si="13"/>
        <v>0.25806451612903519</v>
      </c>
      <c r="AZ7" s="74">
        <v>83.886329000000003</v>
      </c>
      <c r="BA7" s="71">
        <v>103.19295820000001</v>
      </c>
      <c r="BB7" s="71">
        <v>76.991547999999995</v>
      </c>
      <c r="BC7" s="72">
        <f t="shared" si="14"/>
        <v>0.26314541650128459</v>
      </c>
      <c r="BD7" s="75">
        <v>1.3</v>
      </c>
      <c r="BE7" s="75">
        <v>1.4</v>
      </c>
      <c r="BF7" s="75">
        <v>0.6</v>
      </c>
      <c r="BG7" s="72">
        <f t="shared" si="15"/>
        <v>0.87500000000000011</v>
      </c>
      <c r="BH7" s="92">
        <v>37320</v>
      </c>
      <c r="BI7" s="71">
        <v>63000</v>
      </c>
      <c r="BJ7" s="71">
        <v>36010</v>
      </c>
      <c r="BK7" s="72">
        <f t="shared" si="16"/>
        <v>4.853649499814746E-2</v>
      </c>
      <c r="BL7" s="98">
        <f t="shared" si="17"/>
        <v>0.36429175127911817</v>
      </c>
      <c r="BM7" s="101">
        <v>0.76859999999999995</v>
      </c>
      <c r="BN7" s="102">
        <v>0.79210000000000003</v>
      </c>
      <c r="BO7" s="102">
        <v>0.25</v>
      </c>
      <c r="BP7" s="72">
        <f t="shared" si="18"/>
        <v>0.95665006456373347</v>
      </c>
      <c r="BQ7" s="73">
        <v>74.849999999999994</v>
      </c>
      <c r="BR7" s="73">
        <v>74.86</v>
      </c>
      <c r="BS7" s="73">
        <v>74.64</v>
      </c>
      <c r="BT7" s="72">
        <f t="shared" si="19"/>
        <v>0.95454545454543105</v>
      </c>
      <c r="BU7" s="74">
        <v>106.923042297363</v>
      </c>
      <c r="BV7" s="71">
        <v>109.686958312988</v>
      </c>
      <c r="BW7" s="71">
        <v>98.313865661621094</v>
      </c>
      <c r="BX7" s="72">
        <f t="shared" si="20"/>
        <v>0.756977622503338</v>
      </c>
      <c r="BY7" s="76">
        <v>7.4</v>
      </c>
      <c r="BZ7" s="76">
        <v>9.3000000000000007</v>
      </c>
      <c r="CA7" s="77">
        <v>5.9250481410161457</v>
      </c>
      <c r="CB7" s="72">
        <f t="shared" si="21"/>
        <v>0.43702900681609708</v>
      </c>
      <c r="CC7" s="92">
        <v>31930</v>
      </c>
      <c r="CD7" s="71">
        <v>44520</v>
      </c>
      <c r="CE7" s="71">
        <v>29030</v>
      </c>
      <c r="CF7" s="72">
        <f t="shared" si="22"/>
        <v>0.18721755971594578</v>
      </c>
      <c r="CG7" s="98">
        <f t="shared" si="23"/>
        <v>0.65848394162890911</v>
      </c>
    </row>
    <row r="8" spans="1:85" ht="15.75" x14ac:dyDescent="0.25">
      <c r="A8" s="69">
        <v>2010</v>
      </c>
      <c r="B8" s="97">
        <v>142</v>
      </c>
      <c r="C8" s="71">
        <v>149</v>
      </c>
      <c r="D8" s="71">
        <v>90</v>
      </c>
      <c r="E8" s="72">
        <f t="shared" si="0"/>
        <v>0.88135593220338981</v>
      </c>
      <c r="F8" s="73">
        <v>68.680000000000007</v>
      </c>
      <c r="G8" s="71">
        <v>70.52</v>
      </c>
      <c r="H8" s="71">
        <v>67.569999999999993</v>
      </c>
      <c r="I8" s="72">
        <f t="shared" si="1"/>
        <v>0.37627118644068225</v>
      </c>
      <c r="J8" s="74">
        <v>109.150337219238</v>
      </c>
      <c r="K8" s="71">
        <v>109.305770874023</v>
      </c>
      <c r="L8" s="71">
        <v>90.1439208984375</v>
      </c>
      <c r="M8" s="72">
        <f t="shared" si="2"/>
        <v>0.99188837951538911</v>
      </c>
      <c r="N8" s="71">
        <v>27.9</v>
      </c>
      <c r="O8" s="71">
        <v>31.2</v>
      </c>
      <c r="P8" s="71">
        <v>18.899999999999999</v>
      </c>
      <c r="Q8" s="72">
        <f t="shared" si="3"/>
        <v>0.73170731707317072</v>
      </c>
      <c r="R8" s="71">
        <v>2510</v>
      </c>
      <c r="S8" s="71">
        <v>4170</v>
      </c>
      <c r="T8" s="71">
        <v>1580</v>
      </c>
      <c r="U8" s="72">
        <f t="shared" si="4"/>
        <v>0.35907335907335908</v>
      </c>
      <c r="V8" s="98">
        <f t="shared" si="5"/>
        <v>0.66805923486119823</v>
      </c>
      <c r="W8" s="70">
        <v>586.6</v>
      </c>
      <c r="X8" s="71">
        <v>767</v>
      </c>
      <c r="Y8" s="71">
        <v>124.4</v>
      </c>
      <c r="Z8" s="72">
        <f t="shared" si="6"/>
        <v>0.71926548397136636</v>
      </c>
      <c r="AA8" s="73">
        <v>74.44</v>
      </c>
      <c r="AB8" s="73">
        <v>75.94</v>
      </c>
      <c r="AC8" s="73">
        <v>74.209999999999994</v>
      </c>
      <c r="AD8" s="72">
        <f t="shared" si="7"/>
        <v>0.1329479768786147</v>
      </c>
      <c r="AE8" s="74">
        <v>99.757949829101605</v>
      </c>
      <c r="AF8" s="71">
        <v>106.8459</v>
      </c>
      <c r="AG8" s="71">
        <v>97.950057983398395</v>
      </c>
      <c r="AH8" s="72">
        <f t="shared" si="8"/>
        <v>0.20322886156580625</v>
      </c>
      <c r="AI8" s="71">
        <v>7</v>
      </c>
      <c r="AJ8" s="71">
        <v>7</v>
      </c>
      <c r="AK8" s="71">
        <v>6.5</v>
      </c>
      <c r="AL8" s="72">
        <f t="shared" si="9"/>
        <v>1</v>
      </c>
      <c r="AM8" s="92">
        <v>8110</v>
      </c>
      <c r="AN8" s="71">
        <v>10960</v>
      </c>
      <c r="AO8" s="71">
        <v>6540</v>
      </c>
      <c r="AP8" s="72">
        <f t="shared" si="10"/>
        <v>0.35520361990950228</v>
      </c>
      <c r="AQ8" s="98">
        <f t="shared" si="11"/>
        <v>0.48212918846505798</v>
      </c>
      <c r="AR8" s="70">
        <v>653</v>
      </c>
      <c r="AS8" s="71">
        <v>847</v>
      </c>
      <c r="AT8" s="71">
        <v>555</v>
      </c>
      <c r="AU8" s="72">
        <f t="shared" si="12"/>
        <v>0.33561643835616439</v>
      </c>
      <c r="AV8" s="75">
        <v>81.7</v>
      </c>
      <c r="AW8" s="75">
        <v>83.7</v>
      </c>
      <c r="AX8" s="75">
        <v>80.599999999999994</v>
      </c>
      <c r="AY8" s="72">
        <f t="shared" si="13"/>
        <v>0.35483870967742115</v>
      </c>
      <c r="AZ8" s="74">
        <v>91.377029418945298</v>
      </c>
      <c r="BA8" s="71">
        <v>103.19295820000001</v>
      </c>
      <c r="BB8" s="71">
        <v>76.991547999999995</v>
      </c>
      <c r="BC8" s="72">
        <f t="shared" si="14"/>
        <v>0.54903462482127385</v>
      </c>
      <c r="BD8" s="75">
        <v>1.1000000000000001</v>
      </c>
      <c r="BE8" s="75">
        <v>1.4</v>
      </c>
      <c r="BF8" s="75">
        <v>0.6</v>
      </c>
      <c r="BG8" s="72">
        <f t="shared" si="15"/>
        <v>0.62500000000000022</v>
      </c>
      <c r="BH8" s="92">
        <v>44930</v>
      </c>
      <c r="BI8" s="71">
        <v>63000</v>
      </c>
      <c r="BJ8" s="71">
        <v>36010</v>
      </c>
      <c r="BK8" s="72">
        <f t="shared" si="16"/>
        <v>0.33049277510188957</v>
      </c>
      <c r="BL8" s="98">
        <f t="shared" si="17"/>
        <v>0.43899650959134984</v>
      </c>
      <c r="BM8" s="101">
        <v>0.25</v>
      </c>
      <c r="BN8" s="102">
        <v>0.79210000000000003</v>
      </c>
      <c r="BO8" s="102">
        <v>0.25</v>
      </c>
      <c r="BP8" s="72">
        <f t="shared" si="18"/>
        <v>0</v>
      </c>
      <c r="BQ8" s="73">
        <v>74.849999999999994</v>
      </c>
      <c r="BR8" s="73">
        <v>74.86</v>
      </c>
      <c r="BS8" s="73">
        <v>74.64</v>
      </c>
      <c r="BT8" s="72">
        <f t="shared" si="19"/>
        <v>0.95454545454543105</v>
      </c>
      <c r="BU8" s="74">
        <v>106.54216766357401</v>
      </c>
      <c r="BV8" s="71">
        <v>109.686958312988</v>
      </c>
      <c r="BW8" s="71">
        <v>98.313865661621094</v>
      </c>
      <c r="BX8" s="72">
        <f t="shared" si="20"/>
        <v>0.7234885227954222</v>
      </c>
      <c r="BY8" s="76">
        <v>6.1</v>
      </c>
      <c r="BZ8" s="76">
        <v>9.3000000000000007</v>
      </c>
      <c r="CA8" s="77">
        <v>5.9250481410161457</v>
      </c>
      <c r="CB8" s="72">
        <f t="shared" si="21"/>
        <v>5.1838327269215972E-2</v>
      </c>
      <c r="CC8" s="92">
        <v>32680</v>
      </c>
      <c r="CD8" s="71">
        <v>44520</v>
      </c>
      <c r="CE8" s="71">
        <v>29030</v>
      </c>
      <c r="CF8" s="72">
        <f t="shared" si="22"/>
        <v>0.23563589412524208</v>
      </c>
      <c r="CG8" s="98">
        <f t="shared" si="23"/>
        <v>0.3931016397470623</v>
      </c>
    </row>
    <row r="9" spans="1:85" ht="15.75" x14ac:dyDescent="0.25">
      <c r="A9" s="69">
        <v>2011</v>
      </c>
      <c r="B9" s="97">
        <v>149</v>
      </c>
      <c r="C9" s="71">
        <v>149</v>
      </c>
      <c r="D9" s="71">
        <v>90</v>
      </c>
      <c r="E9" s="72">
        <f t="shared" si="0"/>
        <v>1</v>
      </c>
      <c r="F9" s="73">
        <v>68.819999999999993</v>
      </c>
      <c r="G9" s="71">
        <v>70.52</v>
      </c>
      <c r="H9" s="71">
        <v>67.569999999999993</v>
      </c>
      <c r="I9" s="72">
        <f t="shared" si="1"/>
        <v>0.42372881355932163</v>
      </c>
      <c r="J9" s="74">
        <v>109.17983245849599</v>
      </c>
      <c r="K9" s="71">
        <v>109.305770874023</v>
      </c>
      <c r="L9" s="71">
        <v>90.1439208984375</v>
      </c>
      <c r="M9" s="72">
        <f t="shared" si="2"/>
        <v>0.99342764839055397</v>
      </c>
      <c r="N9" s="71">
        <v>26.9</v>
      </c>
      <c r="O9" s="71">
        <v>31.2</v>
      </c>
      <c r="P9" s="71">
        <v>18.899999999999999</v>
      </c>
      <c r="Q9" s="72">
        <f t="shared" si="3"/>
        <v>0.65040650406504064</v>
      </c>
      <c r="R9" s="71">
        <v>2990</v>
      </c>
      <c r="S9" s="71">
        <v>4170</v>
      </c>
      <c r="T9" s="71">
        <v>1580</v>
      </c>
      <c r="U9" s="72">
        <f t="shared" si="4"/>
        <v>0.54440154440154442</v>
      </c>
      <c r="V9" s="98">
        <f t="shared" si="5"/>
        <v>0.72239290208329221</v>
      </c>
      <c r="W9" s="70">
        <v>566.5</v>
      </c>
      <c r="X9" s="71">
        <v>767</v>
      </c>
      <c r="Y9" s="71">
        <v>124.4</v>
      </c>
      <c r="Z9" s="72">
        <f t="shared" si="6"/>
        <v>0.68798630563336449</v>
      </c>
      <c r="AA9" s="73">
        <v>74.75</v>
      </c>
      <c r="AB9" s="73">
        <v>75.94</v>
      </c>
      <c r="AC9" s="73">
        <v>74.209999999999994</v>
      </c>
      <c r="AD9" s="72">
        <f t="shared" si="7"/>
        <v>0.31213872832370232</v>
      </c>
      <c r="AE9" s="74">
        <v>101.080291748047</v>
      </c>
      <c r="AF9" s="71">
        <v>106.8459</v>
      </c>
      <c r="AG9" s="71">
        <v>97.950057983398395</v>
      </c>
      <c r="AH9" s="72">
        <f t="shared" si="8"/>
        <v>0.35187605162129687</v>
      </c>
      <c r="AI9" s="71">
        <v>6.9</v>
      </c>
      <c r="AJ9" s="71">
        <v>7</v>
      </c>
      <c r="AK9" s="71">
        <v>6.5</v>
      </c>
      <c r="AL9" s="72">
        <f t="shared" si="9"/>
        <v>0.80000000000000071</v>
      </c>
      <c r="AM9" s="92">
        <v>8890</v>
      </c>
      <c r="AN9" s="71">
        <v>10960</v>
      </c>
      <c r="AO9" s="71">
        <v>6540</v>
      </c>
      <c r="AP9" s="72">
        <f t="shared" si="10"/>
        <v>0.53167420814479638</v>
      </c>
      <c r="AQ9" s="98">
        <f t="shared" si="11"/>
        <v>0.53673505874463223</v>
      </c>
      <c r="AR9" s="70">
        <v>606</v>
      </c>
      <c r="AS9" s="71">
        <v>847</v>
      </c>
      <c r="AT9" s="71">
        <v>555</v>
      </c>
      <c r="AU9" s="72">
        <f t="shared" si="12"/>
        <v>0.17465753424657535</v>
      </c>
      <c r="AV9" s="75">
        <v>81.900000000000006</v>
      </c>
      <c r="AW9" s="75">
        <v>83.7</v>
      </c>
      <c r="AX9" s="75">
        <v>80.599999999999994</v>
      </c>
      <c r="AY9" s="72">
        <f t="shared" si="13"/>
        <v>0.41935483870967993</v>
      </c>
      <c r="AZ9" s="74">
        <v>87.551605224609403</v>
      </c>
      <c r="BA9" s="71">
        <v>103.19295820000001</v>
      </c>
      <c r="BB9" s="71">
        <v>76.991547999999995</v>
      </c>
      <c r="BC9" s="72">
        <f t="shared" si="14"/>
        <v>0.40303392618956835</v>
      </c>
      <c r="BD9" s="75">
        <v>1.3</v>
      </c>
      <c r="BE9" s="75">
        <v>1.4</v>
      </c>
      <c r="BF9" s="75">
        <v>0.6</v>
      </c>
      <c r="BG9" s="72">
        <f t="shared" si="15"/>
        <v>0.87500000000000011</v>
      </c>
      <c r="BH9" s="92">
        <v>48250</v>
      </c>
      <c r="BI9" s="71">
        <v>63000</v>
      </c>
      <c r="BJ9" s="71">
        <v>36010</v>
      </c>
      <c r="BK9" s="72">
        <f t="shared" si="16"/>
        <v>0.45350129677658391</v>
      </c>
      <c r="BL9" s="98">
        <f t="shared" si="17"/>
        <v>0.46510951918448157</v>
      </c>
      <c r="BM9" s="101">
        <v>0.25</v>
      </c>
      <c r="BN9" s="102">
        <v>0.79210000000000003</v>
      </c>
      <c r="BO9" s="102">
        <v>0.25</v>
      </c>
      <c r="BP9" s="72">
        <f t="shared" si="18"/>
        <v>0</v>
      </c>
      <c r="BQ9" s="73">
        <v>74.86</v>
      </c>
      <c r="BR9" s="73">
        <v>74.86</v>
      </c>
      <c r="BS9" s="73">
        <v>74.64</v>
      </c>
      <c r="BT9" s="72">
        <f t="shared" si="19"/>
        <v>1</v>
      </c>
      <c r="BU9" s="74">
        <v>106.13315582275401</v>
      </c>
      <c r="BV9" s="71">
        <v>109.686958312988</v>
      </c>
      <c r="BW9" s="71">
        <v>98.313865661621094</v>
      </c>
      <c r="BX9" s="72">
        <f t="shared" si="20"/>
        <v>0.68752540762895575</v>
      </c>
      <c r="BY9" s="76">
        <v>8.3000000000000007</v>
      </c>
      <c r="BZ9" s="76">
        <v>9.3000000000000007</v>
      </c>
      <c r="CA9" s="77">
        <v>5.9250481410161457</v>
      </c>
      <c r="CB9" s="72">
        <f t="shared" si="21"/>
        <v>0.70369947727163007</v>
      </c>
      <c r="CC9" s="92">
        <v>34830</v>
      </c>
      <c r="CD9" s="71">
        <v>44520</v>
      </c>
      <c r="CE9" s="71">
        <v>29030</v>
      </c>
      <c r="CF9" s="72">
        <f t="shared" si="22"/>
        <v>0.37443511943189156</v>
      </c>
      <c r="CG9" s="98">
        <f t="shared" si="23"/>
        <v>0.5531320008664955</v>
      </c>
    </row>
    <row r="10" spans="1:85" ht="15.75" x14ac:dyDescent="0.25">
      <c r="A10" s="69">
        <v>2012</v>
      </c>
      <c r="B10" s="97">
        <v>134</v>
      </c>
      <c r="C10" s="71">
        <v>149</v>
      </c>
      <c r="D10" s="71">
        <v>90</v>
      </c>
      <c r="E10" s="72">
        <f t="shared" si="0"/>
        <v>0.74576271186440679</v>
      </c>
      <c r="F10" s="73">
        <v>68.97</v>
      </c>
      <c r="G10" s="71">
        <v>70.52</v>
      </c>
      <c r="H10" s="71">
        <v>67.569999999999993</v>
      </c>
      <c r="I10" s="72">
        <f t="shared" si="1"/>
        <v>0.47457627118644213</v>
      </c>
      <c r="J10" s="74">
        <v>109.27342224121099</v>
      </c>
      <c r="K10" s="71">
        <v>109.305770874023</v>
      </c>
      <c r="L10" s="71">
        <v>90.1439208984375</v>
      </c>
      <c r="M10" s="72">
        <f t="shared" si="2"/>
        <v>0.99831182099571703</v>
      </c>
      <c r="N10" s="71">
        <v>25.9</v>
      </c>
      <c r="O10" s="71">
        <v>31.2</v>
      </c>
      <c r="P10" s="71">
        <v>18.899999999999999</v>
      </c>
      <c r="Q10" s="72">
        <f t="shared" si="3"/>
        <v>0.56910569105691056</v>
      </c>
      <c r="R10" s="71">
        <v>3550</v>
      </c>
      <c r="S10" s="71">
        <v>4170</v>
      </c>
      <c r="T10" s="71">
        <v>1580</v>
      </c>
      <c r="U10" s="72">
        <f t="shared" si="4"/>
        <v>0.76061776061776065</v>
      </c>
      <c r="V10" s="98">
        <f t="shared" si="5"/>
        <v>0.70967485114424744</v>
      </c>
      <c r="W10" s="70">
        <v>504.2</v>
      </c>
      <c r="X10" s="71">
        <v>767</v>
      </c>
      <c r="Y10" s="71">
        <v>124.4</v>
      </c>
      <c r="Z10" s="72">
        <f t="shared" si="6"/>
        <v>0.59103641456582623</v>
      </c>
      <c r="AA10" s="73">
        <v>74.94</v>
      </c>
      <c r="AB10" s="73">
        <v>75.94</v>
      </c>
      <c r="AC10" s="73">
        <v>74.209999999999994</v>
      </c>
      <c r="AD10" s="72">
        <f t="shared" si="7"/>
        <v>0.42196531791907649</v>
      </c>
      <c r="AE10" s="74">
        <v>102.741806030273</v>
      </c>
      <c r="AF10" s="71">
        <v>106.8459</v>
      </c>
      <c r="AG10" s="71">
        <v>97.950057983398395</v>
      </c>
      <c r="AH10" s="72">
        <f t="shared" si="8"/>
        <v>0.53865030852977624</v>
      </c>
      <c r="AI10" s="71">
        <v>6.9</v>
      </c>
      <c r="AJ10" s="71">
        <v>7</v>
      </c>
      <c r="AK10" s="71">
        <v>6.5</v>
      </c>
      <c r="AL10" s="72">
        <f t="shared" si="9"/>
        <v>0.80000000000000071</v>
      </c>
      <c r="AM10" s="92">
        <v>9980</v>
      </c>
      <c r="AN10" s="71">
        <v>10960</v>
      </c>
      <c r="AO10" s="71">
        <v>6540</v>
      </c>
      <c r="AP10" s="72">
        <f t="shared" si="10"/>
        <v>0.77828054298642535</v>
      </c>
      <c r="AQ10" s="98">
        <f t="shared" si="11"/>
        <v>0.62598651680022099</v>
      </c>
      <c r="AR10" s="70">
        <v>584</v>
      </c>
      <c r="AS10" s="71">
        <v>847</v>
      </c>
      <c r="AT10" s="71">
        <v>555</v>
      </c>
      <c r="AU10" s="72">
        <f t="shared" si="12"/>
        <v>9.9315068493150679E-2</v>
      </c>
      <c r="AV10" s="75">
        <v>82.1</v>
      </c>
      <c r="AW10" s="75">
        <v>83.7</v>
      </c>
      <c r="AX10" s="75">
        <v>80.599999999999994</v>
      </c>
      <c r="AY10" s="72">
        <f t="shared" si="13"/>
        <v>0.48387096774193417</v>
      </c>
      <c r="AZ10" s="74">
        <v>86.314239501953097</v>
      </c>
      <c r="BA10" s="71">
        <v>103.19295820000001</v>
      </c>
      <c r="BB10" s="71">
        <v>76.991547999999995</v>
      </c>
      <c r="BC10" s="72">
        <f t="shared" si="14"/>
        <v>0.35580876871860501</v>
      </c>
      <c r="BD10" s="75">
        <v>1.1000000000000001</v>
      </c>
      <c r="BE10" s="75">
        <v>1.4</v>
      </c>
      <c r="BF10" s="75">
        <v>0.6</v>
      </c>
      <c r="BG10" s="72">
        <f t="shared" si="15"/>
        <v>0.62500000000000022</v>
      </c>
      <c r="BH10" s="92">
        <v>51710</v>
      </c>
      <c r="BI10" s="71">
        <v>63000</v>
      </c>
      <c r="BJ10" s="71">
        <v>36010</v>
      </c>
      <c r="BK10" s="72">
        <f t="shared" si="16"/>
        <v>0.58169692478695811</v>
      </c>
      <c r="BL10" s="98">
        <f t="shared" si="17"/>
        <v>0.42913834594812972</v>
      </c>
      <c r="BM10" s="101">
        <v>0.98370000000000002</v>
      </c>
      <c r="BN10" s="102">
        <v>0.79210000000000003</v>
      </c>
      <c r="BO10" s="102">
        <v>0.25</v>
      </c>
      <c r="BP10" s="72">
        <f t="shared" si="18"/>
        <v>1.3534403246633462</v>
      </c>
      <c r="BQ10" s="73">
        <v>74.83</v>
      </c>
      <c r="BR10" s="73">
        <v>74.86</v>
      </c>
      <c r="BS10" s="73">
        <v>74.64</v>
      </c>
      <c r="BT10" s="72">
        <f t="shared" si="19"/>
        <v>0.86363636363635776</v>
      </c>
      <c r="BU10" s="74">
        <v>105.93438720703099</v>
      </c>
      <c r="BV10" s="71">
        <v>109.686958312988</v>
      </c>
      <c r="BW10" s="71">
        <v>98.313865661621094</v>
      </c>
      <c r="BX10" s="72">
        <f t="shared" si="20"/>
        <v>0.67004831306759904</v>
      </c>
      <c r="BY10" s="76">
        <v>9.3000000000000007</v>
      </c>
      <c r="BZ10" s="76">
        <v>9.3000000000000007</v>
      </c>
      <c r="CA10" s="77">
        <v>5.9250481410161457</v>
      </c>
      <c r="CB10" s="72">
        <f t="shared" si="21"/>
        <v>1</v>
      </c>
      <c r="CC10" s="92">
        <v>41580</v>
      </c>
      <c r="CD10" s="71">
        <v>44520</v>
      </c>
      <c r="CE10" s="71">
        <v>29030</v>
      </c>
      <c r="CF10" s="72">
        <f t="shared" si="22"/>
        <v>0.81020012911555839</v>
      </c>
      <c r="CG10" s="98">
        <f t="shared" si="23"/>
        <v>0.93946502609657234</v>
      </c>
    </row>
    <row r="11" spans="1:85" ht="15.75" x14ac:dyDescent="0.25">
      <c r="A11" s="69">
        <v>2013</v>
      </c>
      <c r="B11" s="97">
        <v>140</v>
      </c>
      <c r="C11" s="71">
        <v>149</v>
      </c>
      <c r="D11" s="71">
        <v>90</v>
      </c>
      <c r="E11" s="72">
        <f t="shared" si="0"/>
        <v>0.84745762711864403</v>
      </c>
      <c r="F11" s="73">
        <v>69.260000000000005</v>
      </c>
      <c r="G11" s="71">
        <v>70.52</v>
      </c>
      <c r="H11" s="71">
        <v>67.569999999999993</v>
      </c>
      <c r="I11" s="72">
        <f t="shared" si="1"/>
        <v>0.5728813559322069</v>
      </c>
      <c r="J11" s="74">
        <v>106.841590881348</v>
      </c>
      <c r="K11" s="71">
        <v>109.305770874023</v>
      </c>
      <c r="L11" s="71">
        <v>90.1439208984375</v>
      </c>
      <c r="M11" s="72">
        <f t="shared" si="2"/>
        <v>0.87140176988053542</v>
      </c>
      <c r="N11" s="71">
        <v>25</v>
      </c>
      <c r="O11" s="71">
        <v>31.2</v>
      </c>
      <c r="P11" s="71">
        <v>18.899999999999999</v>
      </c>
      <c r="Q11" s="72">
        <f t="shared" si="3"/>
        <v>0.49593495934959358</v>
      </c>
      <c r="R11" s="71">
        <v>3710</v>
      </c>
      <c r="S11" s="71">
        <v>4170</v>
      </c>
      <c r="T11" s="71">
        <v>1580</v>
      </c>
      <c r="U11" s="72">
        <f t="shared" si="4"/>
        <v>0.82239382239382242</v>
      </c>
      <c r="V11" s="98">
        <f t="shared" si="5"/>
        <v>0.72201390693496048</v>
      </c>
      <c r="W11" s="70">
        <v>491.5</v>
      </c>
      <c r="X11" s="71">
        <v>767</v>
      </c>
      <c r="Y11" s="71">
        <v>124.4</v>
      </c>
      <c r="Z11" s="72">
        <f t="shared" si="6"/>
        <v>0.57127295362589481</v>
      </c>
      <c r="AA11" s="73">
        <v>75.040000000000006</v>
      </c>
      <c r="AB11" s="73">
        <v>75.94</v>
      </c>
      <c r="AC11" s="73">
        <v>74.209999999999994</v>
      </c>
      <c r="AD11" s="72">
        <f t="shared" si="7"/>
        <v>0.47976878612717377</v>
      </c>
      <c r="AE11" s="74">
        <v>104.66015625</v>
      </c>
      <c r="AF11" s="71">
        <v>106.8459</v>
      </c>
      <c r="AG11" s="71">
        <v>97.950057983398395</v>
      </c>
      <c r="AH11" s="72">
        <f t="shared" si="8"/>
        <v>0.75429602437622878</v>
      </c>
      <c r="AI11" s="71">
        <v>6.9</v>
      </c>
      <c r="AJ11" s="71">
        <v>7</v>
      </c>
      <c r="AK11" s="71">
        <v>6.5</v>
      </c>
      <c r="AL11" s="72">
        <f t="shared" si="9"/>
        <v>0.80000000000000071</v>
      </c>
      <c r="AM11" s="92">
        <v>10600</v>
      </c>
      <c r="AN11" s="71">
        <v>10960</v>
      </c>
      <c r="AO11" s="71">
        <v>6540</v>
      </c>
      <c r="AP11" s="72">
        <f t="shared" si="10"/>
        <v>0.91855203619909498</v>
      </c>
      <c r="AQ11" s="98">
        <f t="shared" si="11"/>
        <v>0.70477796006567861</v>
      </c>
      <c r="AR11" s="70">
        <v>555</v>
      </c>
      <c r="AS11" s="71">
        <v>847</v>
      </c>
      <c r="AT11" s="71">
        <v>555</v>
      </c>
      <c r="AU11" s="72">
        <f t="shared" si="12"/>
        <v>0</v>
      </c>
      <c r="AV11" s="75">
        <v>82.4</v>
      </c>
      <c r="AW11" s="75">
        <v>83.7</v>
      </c>
      <c r="AX11" s="75">
        <v>80.599999999999994</v>
      </c>
      <c r="AY11" s="72">
        <f t="shared" si="13"/>
        <v>0.58064516129032462</v>
      </c>
      <c r="AZ11" s="74">
        <v>85.034286499023395</v>
      </c>
      <c r="BA11" s="71">
        <v>103.19295820000001</v>
      </c>
      <c r="BB11" s="71">
        <v>76.991547999999995</v>
      </c>
      <c r="BC11" s="72">
        <f t="shared" si="14"/>
        <v>0.30695823002013062</v>
      </c>
      <c r="BD11" s="75">
        <v>1.1000000000000001</v>
      </c>
      <c r="BE11" s="75">
        <v>1.4</v>
      </c>
      <c r="BF11" s="75">
        <v>0.6</v>
      </c>
      <c r="BG11" s="72">
        <f t="shared" si="15"/>
        <v>0.62500000000000022</v>
      </c>
      <c r="BH11" s="92">
        <v>54470</v>
      </c>
      <c r="BI11" s="71">
        <v>63000</v>
      </c>
      <c r="BJ11" s="71">
        <v>36010</v>
      </c>
      <c r="BK11" s="72">
        <f t="shared" si="16"/>
        <v>0.68395702111893297</v>
      </c>
      <c r="BL11" s="98">
        <f t="shared" si="17"/>
        <v>0.43931208248587772</v>
      </c>
      <c r="BM11" s="101">
        <v>0.48580000000000001</v>
      </c>
      <c r="BN11" s="102">
        <v>0.79210000000000003</v>
      </c>
      <c r="BO11" s="102">
        <v>0.25</v>
      </c>
      <c r="BP11" s="72">
        <f t="shared" si="18"/>
        <v>0.43497509684560043</v>
      </c>
      <c r="BQ11" s="73">
        <v>74.8</v>
      </c>
      <c r="BR11" s="73">
        <v>74.86</v>
      </c>
      <c r="BS11" s="73">
        <v>74.64</v>
      </c>
      <c r="BT11" s="72">
        <f t="shared" si="19"/>
        <v>0.72727272727271552</v>
      </c>
      <c r="BU11" s="74">
        <v>106.111030578613</v>
      </c>
      <c r="BV11" s="71">
        <v>109.686958312988</v>
      </c>
      <c r="BW11" s="71">
        <v>98.313865661621094</v>
      </c>
      <c r="BX11" s="72">
        <f t="shared" si="20"/>
        <v>0.68558000501778926</v>
      </c>
      <c r="BY11" s="76">
        <v>7.6</v>
      </c>
      <c r="BZ11" s="76">
        <v>9.3000000000000007</v>
      </c>
      <c r="CA11" s="77">
        <v>5.9250481410161457</v>
      </c>
      <c r="CB11" s="72">
        <f t="shared" si="21"/>
        <v>0.49628911136177084</v>
      </c>
      <c r="CC11" s="92">
        <v>44520</v>
      </c>
      <c r="CD11" s="71">
        <v>44520</v>
      </c>
      <c r="CE11" s="71">
        <v>29030</v>
      </c>
      <c r="CF11" s="72">
        <f t="shared" si="22"/>
        <v>1</v>
      </c>
      <c r="CG11" s="98">
        <f t="shared" si="23"/>
        <v>0.66882338809957531</v>
      </c>
    </row>
    <row r="12" spans="1:85" ht="15.75" x14ac:dyDescent="0.25">
      <c r="A12" s="69">
        <v>2014</v>
      </c>
      <c r="B12" s="97">
        <v>131</v>
      </c>
      <c r="C12" s="71">
        <v>149</v>
      </c>
      <c r="D12" s="71">
        <v>90</v>
      </c>
      <c r="E12" s="72">
        <f t="shared" si="0"/>
        <v>0.69491525423728817</v>
      </c>
      <c r="F12" s="73">
        <v>69.53</v>
      </c>
      <c r="G12" s="71">
        <v>70.52</v>
      </c>
      <c r="H12" s="71">
        <v>67.569999999999993</v>
      </c>
      <c r="I12" s="72">
        <f t="shared" si="1"/>
        <v>0.66440677966101902</v>
      </c>
      <c r="J12" s="74">
        <v>106.073402404785</v>
      </c>
      <c r="K12" s="71">
        <v>109.305770874023</v>
      </c>
      <c r="L12" s="71">
        <v>90.1439208984375</v>
      </c>
      <c r="M12" s="72">
        <f t="shared" si="2"/>
        <v>0.83131229639328019</v>
      </c>
      <c r="N12" s="71">
        <v>24.1</v>
      </c>
      <c r="O12" s="71">
        <v>31.2</v>
      </c>
      <c r="P12" s="71">
        <v>18.899999999999999</v>
      </c>
      <c r="Q12" s="72">
        <f t="shared" si="3"/>
        <v>0.42276422764227661</v>
      </c>
      <c r="R12" s="71">
        <v>3600</v>
      </c>
      <c r="S12" s="71">
        <v>4170</v>
      </c>
      <c r="T12" s="71">
        <v>1580</v>
      </c>
      <c r="U12" s="72">
        <f t="shared" si="4"/>
        <v>0.77992277992277992</v>
      </c>
      <c r="V12" s="98">
        <f t="shared" si="5"/>
        <v>0.67866426757132881</v>
      </c>
      <c r="W12" s="70">
        <v>393.6</v>
      </c>
      <c r="X12" s="71">
        <v>767</v>
      </c>
      <c r="Y12" s="71">
        <v>124.4</v>
      </c>
      <c r="Z12" s="72">
        <f t="shared" si="6"/>
        <v>0.41892312480547778</v>
      </c>
      <c r="AA12" s="73">
        <v>75.150000000000006</v>
      </c>
      <c r="AB12" s="73">
        <v>75.94</v>
      </c>
      <c r="AC12" s="73">
        <v>74.209999999999994</v>
      </c>
      <c r="AD12" s="72">
        <f t="shared" si="7"/>
        <v>0.54335260115607498</v>
      </c>
      <c r="AE12" s="74">
        <v>104.361366271973</v>
      </c>
      <c r="AF12" s="71">
        <v>106.8459</v>
      </c>
      <c r="AG12" s="71">
        <v>97.950057983398395</v>
      </c>
      <c r="AH12" s="72">
        <f t="shared" si="8"/>
        <v>0.72070842497086673</v>
      </c>
      <c r="AI12" s="71">
        <v>6.9</v>
      </c>
      <c r="AJ12" s="71">
        <v>7</v>
      </c>
      <c r="AK12" s="71">
        <v>6.5</v>
      </c>
      <c r="AL12" s="72">
        <f t="shared" si="9"/>
        <v>0.80000000000000071</v>
      </c>
      <c r="AM12" s="92">
        <v>10870</v>
      </c>
      <c r="AN12" s="71">
        <v>10960</v>
      </c>
      <c r="AO12" s="71">
        <v>6540</v>
      </c>
      <c r="AP12" s="72">
        <f t="shared" si="10"/>
        <v>0.97963800904977372</v>
      </c>
      <c r="AQ12" s="98">
        <f t="shared" si="11"/>
        <v>0.69252443199643876</v>
      </c>
      <c r="AR12" s="70">
        <v>591</v>
      </c>
      <c r="AS12" s="71">
        <v>847</v>
      </c>
      <c r="AT12" s="71">
        <v>555</v>
      </c>
      <c r="AU12" s="72">
        <f t="shared" si="12"/>
        <v>0.12328767123287671</v>
      </c>
      <c r="AV12" s="75">
        <v>82.6</v>
      </c>
      <c r="AW12" s="75">
        <v>83.7</v>
      </c>
      <c r="AX12" s="75">
        <v>80.599999999999994</v>
      </c>
      <c r="AY12" s="72">
        <f t="shared" si="13"/>
        <v>0.64516129032257885</v>
      </c>
      <c r="AZ12" s="74">
        <v>85.477615356445298</v>
      </c>
      <c r="BA12" s="71">
        <v>103.19295820000001</v>
      </c>
      <c r="BB12" s="71">
        <v>76.991547999999995</v>
      </c>
      <c r="BC12" s="72">
        <f t="shared" si="14"/>
        <v>0.3238782680653311</v>
      </c>
      <c r="BD12" s="75">
        <v>1.1000000000000001</v>
      </c>
      <c r="BE12" s="75">
        <v>1.4</v>
      </c>
      <c r="BF12" s="75">
        <v>0.6</v>
      </c>
      <c r="BG12" s="72">
        <f t="shared" si="15"/>
        <v>0.62500000000000022</v>
      </c>
      <c r="BH12" s="92">
        <v>56380</v>
      </c>
      <c r="BI12" s="71">
        <v>63000</v>
      </c>
      <c r="BJ12" s="71">
        <v>36010</v>
      </c>
      <c r="BK12" s="72">
        <f t="shared" si="16"/>
        <v>0.7547239718414227</v>
      </c>
      <c r="BL12" s="98">
        <f t="shared" si="17"/>
        <v>0.49441024029244196</v>
      </c>
      <c r="BM12" s="103">
        <v>0.56999999999999995</v>
      </c>
      <c r="BN12" s="102">
        <v>0.79210000000000003</v>
      </c>
      <c r="BO12" s="102">
        <v>0.25</v>
      </c>
      <c r="BP12" s="72">
        <f t="shared" si="18"/>
        <v>0.59029699317469086</v>
      </c>
      <c r="BQ12" s="73">
        <v>74.78</v>
      </c>
      <c r="BR12" s="73">
        <v>74.86</v>
      </c>
      <c r="BS12" s="73">
        <v>74.64</v>
      </c>
      <c r="BT12" s="72">
        <f t="shared" si="19"/>
        <v>0.63636363636364224</v>
      </c>
      <c r="BU12" s="74">
        <v>105.493209838867</v>
      </c>
      <c r="BV12" s="71">
        <v>109.686958312988</v>
      </c>
      <c r="BW12" s="71">
        <v>98.313865661621094</v>
      </c>
      <c r="BX12" s="72">
        <f t="shared" si="20"/>
        <v>0.6312569850016162</v>
      </c>
      <c r="BY12" s="76">
        <v>7.4</v>
      </c>
      <c r="BZ12" s="76">
        <v>9.3000000000000007</v>
      </c>
      <c r="CA12" s="77">
        <v>5.9250481410161457</v>
      </c>
      <c r="CB12" s="72">
        <f t="shared" si="21"/>
        <v>0.43702900681609708</v>
      </c>
      <c r="CC12" s="92">
        <v>42380</v>
      </c>
      <c r="CD12" s="71">
        <v>44520</v>
      </c>
      <c r="CE12" s="71">
        <v>29030</v>
      </c>
      <c r="CF12" s="72">
        <f t="shared" si="22"/>
        <v>0.86184635248547448</v>
      </c>
      <c r="CG12" s="98">
        <f t="shared" si="23"/>
        <v>0.63135859476830425</v>
      </c>
    </row>
    <row r="13" spans="1:85" ht="15.75" x14ac:dyDescent="0.25">
      <c r="A13" s="69">
        <v>2015</v>
      </c>
      <c r="B13" s="97">
        <v>140</v>
      </c>
      <c r="C13" s="71">
        <v>149</v>
      </c>
      <c r="D13" s="71">
        <v>90</v>
      </c>
      <c r="E13" s="72">
        <f t="shared" si="0"/>
        <v>0.84745762711864403</v>
      </c>
      <c r="F13" s="73">
        <v>69.7</v>
      </c>
      <c r="G13" s="71">
        <v>70.52</v>
      </c>
      <c r="H13" s="71">
        <v>67.569999999999993</v>
      </c>
      <c r="I13" s="72">
        <f t="shared" si="1"/>
        <v>0.72203389830508735</v>
      </c>
      <c r="J13" s="74">
        <v>105.960243225098</v>
      </c>
      <c r="K13" s="71">
        <v>109.305770874023</v>
      </c>
      <c r="L13" s="71">
        <v>90.1439208984375</v>
      </c>
      <c r="M13" s="72">
        <f t="shared" si="2"/>
        <v>0.82540685512162948</v>
      </c>
      <c r="N13" s="71">
        <v>23.2</v>
      </c>
      <c r="O13" s="71">
        <v>31.2</v>
      </c>
      <c r="P13" s="71">
        <v>18.899999999999999</v>
      </c>
      <c r="Q13" s="72">
        <f t="shared" si="3"/>
        <v>0.34959349593495936</v>
      </c>
      <c r="R13" s="71">
        <v>3420</v>
      </c>
      <c r="S13" s="71">
        <v>4170</v>
      </c>
      <c r="T13" s="71">
        <v>1580</v>
      </c>
      <c r="U13" s="72">
        <f t="shared" si="4"/>
        <v>0.71042471042471045</v>
      </c>
      <c r="V13" s="98">
        <f t="shared" si="5"/>
        <v>0.69098331738100605</v>
      </c>
      <c r="W13" s="70">
        <v>370.5</v>
      </c>
      <c r="X13" s="71">
        <v>767</v>
      </c>
      <c r="Y13" s="71">
        <v>124.4</v>
      </c>
      <c r="Z13" s="72">
        <f t="shared" si="6"/>
        <v>0.38297541238717708</v>
      </c>
      <c r="AA13" s="73">
        <v>75.09</v>
      </c>
      <c r="AB13" s="73">
        <v>75.94</v>
      </c>
      <c r="AC13" s="73">
        <v>74.209999999999994</v>
      </c>
      <c r="AD13" s="72">
        <f t="shared" si="7"/>
        <v>0.50867052023121828</v>
      </c>
      <c r="AE13" s="74">
        <v>103.81867218017599</v>
      </c>
      <c r="AF13" s="71">
        <v>106.8459</v>
      </c>
      <c r="AG13" s="71">
        <v>97.950057983398395</v>
      </c>
      <c r="AH13" s="72">
        <f t="shared" si="8"/>
        <v>0.65970305967950749</v>
      </c>
      <c r="AI13" s="71">
        <v>7</v>
      </c>
      <c r="AJ13" s="71">
        <v>7</v>
      </c>
      <c r="AK13" s="71">
        <v>6.5</v>
      </c>
      <c r="AL13" s="72">
        <f t="shared" si="9"/>
        <v>1</v>
      </c>
      <c r="AM13" s="92">
        <v>10400</v>
      </c>
      <c r="AN13" s="71">
        <v>10960</v>
      </c>
      <c r="AO13" s="71">
        <v>6540</v>
      </c>
      <c r="AP13" s="72">
        <f t="shared" si="10"/>
        <v>0.87330316742081449</v>
      </c>
      <c r="AQ13" s="98">
        <f t="shared" si="11"/>
        <v>0.68493043194374348</v>
      </c>
      <c r="AR13" s="70">
        <v>611</v>
      </c>
      <c r="AS13" s="71">
        <v>847</v>
      </c>
      <c r="AT13" s="71">
        <v>555</v>
      </c>
      <c r="AU13" s="72">
        <f t="shared" si="12"/>
        <v>0.19178082191780821</v>
      </c>
      <c r="AV13" s="75">
        <v>82.9</v>
      </c>
      <c r="AW13" s="75">
        <v>83.7</v>
      </c>
      <c r="AX13" s="75">
        <v>80.599999999999994</v>
      </c>
      <c r="AY13" s="72">
        <f t="shared" si="13"/>
        <v>0.74193548387096941</v>
      </c>
      <c r="AZ13" s="74">
        <v>84.467956542968807</v>
      </c>
      <c r="BA13" s="71">
        <v>103.19295820000001</v>
      </c>
      <c r="BB13" s="71">
        <v>76.991547999999995</v>
      </c>
      <c r="BC13" s="72">
        <f t="shared" si="14"/>
        <v>0.28534374622968989</v>
      </c>
      <c r="BD13" s="75">
        <v>0.8</v>
      </c>
      <c r="BE13" s="75">
        <v>1.4</v>
      </c>
      <c r="BF13" s="75">
        <v>0.6</v>
      </c>
      <c r="BG13" s="72">
        <f t="shared" si="15"/>
        <v>0.25000000000000011</v>
      </c>
      <c r="BH13" s="92">
        <v>53160</v>
      </c>
      <c r="BI13" s="71">
        <v>63000</v>
      </c>
      <c r="BJ13" s="71">
        <v>36010</v>
      </c>
      <c r="BK13" s="72">
        <f t="shared" si="16"/>
        <v>0.63542052612078548</v>
      </c>
      <c r="BL13" s="98">
        <f t="shared" si="17"/>
        <v>0.42089611562785068</v>
      </c>
      <c r="BM13" s="103">
        <v>0.68</v>
      </c>
      <c r="BN13" s="102">
        <v>0.79210000000000003</v>
      </c>
      <c r="BO13" s="102">
        <v>0.25</v>
      </c>
      <c r="BP13" s="72">
        <f t="shared" si="18"/>
        <v>0.79321158457849106</v>
      </c>
      <c r="BQ13" s="73">
        <v>74.75</v>
      </c>
      <c r="BR13" s="73">
        <v>74.86</v>
      </c>
      <c r="BS13" s="73">
        <v>74.64</v>
      </c>
      <c r="BT13" s="72">
        <f t="shared" si="19"/>
        <v>0.5</v>
      </c>
      <c r="BU13" s="74">
        <v>105.527549743652</v>
      </c>
      <c r="BV13" s="71">
        <v>109.686958312988</v>
      </c>
      <c r="BW13" s="71">
        <v>98.313865661621094</v>
      </c>
      <c r="BX13" s="72">
        <f t="shared" si="20"/>
        <v>0.63427638401977804</v>
      </c>
      <c r="BY13" s="76">
        <v>8.6999999999999993</v>
      </c>
      <c r="BZ13" s="76">
        <v>9.3000000000000007</v>
      </c>
      <c r="CA13" s="77">
        <v>5.9250481410161457</v>
      </c>
      <c r="CB13" s="72">
        <f t="shared" si="21"/>
        <v>0.8222196863629776</v>
      </c>
      <c r="CC13" s="92">
        <v>38250</v>
      </c>
      <c r="CD13" s="71">
        <v>44520</v>
      </c>
      <c r="CE13" s="71">
        <v>29030</v>
      </c>
      <c r="CF13" s="72">
        <f t="shared" si="22"/>
        <v>0.59522272433828272</v>
      </c>
      <c r="CG13" s="98">
        <f t="shared" si="23"/>
        <v>0.66898607585990599</v>
      </c>
    </row>
    <row r="14" spans="1:85" ht="15.75" x14ac:dyDescent="0.25">
      <c r="A14" s="69">
        <v>2016</v>
      </c>
      <c r="B14" s="97">
        <v>140</v>
      </c>
      <c r="C14" s="71">
        <v>149</v>
      </c>
      <c r="D14" s="71">
        <v>90</v>
      </c>
      <c r="E14" s="72">
        <f t="shared" si="0"/>
        <v>0.84745762711864403</v>
      </c>
      <c r="F14" s="73">
        <v>69.8</v>
      </c>
      <c r="G14" s="71">
        <v>70.52</v>
      </c>
      <c r="H14" s="71">
        <v>67.569999999999993</v>
      </c>
      <c r="I14" s="72">
        <f t="shared" si="1"/>
        <v>0.75593220338983114</v>
      </c>
      <c r="J14" s="74">
        <v>105.60987854003901</v>
      </c>
      <c r="K14" s="71">
        <v>109.305770874023</v>
      </c>
      <c r="L14" s="71">
        <v>90.1439208984375</v>
      </c>
      <c r="M14" s="72">
        <f t="shared" si="2"/>
        <v>0.80712236351432654</v>
      </c>
      <c r="N14" s="71">
        <v>22.4</v>
      </c>
      <c r="O14" s="71">
        <v>31.2</v>
      </c>
      <c r="P14" s="71">
        <v>18.899999999999999</v>
      </c>
      <c r="Q14" s="72">
        <f t="shared" si="3"/>
        <v>0.28455284552845528</v>
      </c>
      <c r="R14" s="71">
        <v>3400</v>
      </c>
      <c r="S14" s="71">
        <v>4170</v>
      </c>
      <c r="T14" s="71">
        <v>1580</v>
      </c>
      <c r="U14" s="72">
        <f t="shared" si="4"/>
        <v>0.70270270270270274</v>
      </c>
      <c r="V14" s="98">
        <f t="shared" si="5"/>
        <v>0.67955354845079197</v>
      </c>
      <c r="W14" s="70">
        <v>355.2</v>
      </c>
      <c r="X14" s="71">
        <v>767</v>
      </c>
      <c r="Y14" s="71">
        <v>124.4</v>
      </c>
      <c r="Z14" s="72">
        <f t="shared" si="6"/>
        <v>0.35916588857765325</v>
      </c>
      <c r="AA14" s="73">
        <v>75.290000000000006</v>
      </c>
      <c r="AB14" s="73">
        <v>75.94</v>
      </c>
      <c r="AC14" s="73">
        <v>74.209999999999994</v>
      </c>
      <c r="AD14" s="72">
        <f t="shared" si="7"/>
        <v>0.62427745664740464</v>
      </c>
      <c r="AE14" s="74">
        <v>104.999183654785</v>
      </c>
      <c r="AF14" s="71">
        <v>106.8459</v>
      </c>
      <c r="AG14" s="71">
        <v>97.950057983398395</v>
      </c>
      <c r="AH14" s="72">
        <f t="shared" si="8"/>
        <v>0.79240679614491583</v>
      </c>
      <c r="AI14" s="71">
        <v>7</v>
      </c>
      <c r="AJ14" s="71">
        <v>7</v>
      </c>
      <c r="AK14" s="71">
        <v>6.5</v>
      </c>
      <c r="AL14" s="72">
        <f t="shared" si="9"/>
        <v>1</v>
      </c>
      <c r="AM14" s="92">
        <v>9880</v>
      </c>
      <c r="AN14" s="71">
        <v>10960</v>
      </c>
      <c r="AO14" s="71">
        <v>6540</v>
      </c>
      <c r="AP14" s="72">
        <f t="shared" si="10"/>
        <v>0.75565610859728505</v>
      </c>
      <c r="AQ14" s="98">
        <f t="shared" si="11"/>
        <v>0.7063012499934519</v>
      </c>
      <c r="AR14" s="70">
        <v>590</v>
      </c>
      <c r="AS14" s="71">
        <v>847</v>
      </c>
      <c r="AT14" s="71">
        <v>555</v>
      </c>
      <c r="AU14" s="72">
        <f t="shared" si="12"/>
        <v>0.11986301369863013</v>
      </c>
      <c r="AV14" s="78">
        <v>83</v>
      </c>
      <c r="AW14" s="75">
        <v>83.7</v>
      </c>
      <c r="AX14" s="75">
        <v>80.599999999999994</v>
      </c>
      <c r="AY14" s="72">
        <f t="shared" si="13"/>
        <v>0.77419354838709653</v>
      </c>
      <c r="AZ14" s="74">
        <v>100.77320861816401</v>
      </c>
      <c r="BA14" s="71">
        <v>103.19295820000001</v>
      </c>
      <c r="BB14" s="71">
        <v>76.991547999999995</v>
      </c>
      <c r="BC14" s="72">
        <f t="shared" si="14"/>
        <v>0.90764811651870558</v>
      </c>
      <c r="BD14" s="75">
        <v>1.4</v>
      </c>
      <c r="BE14" s="75">
        <v>1.4</v>
      </c>
      <c r="BF14" s="75">
        <v>0.6</v>
      </c>
      <c r="BG14" s="72">
        <f t="shared" si="15"/>
        <v>1</v>
      </c>
      <c r="BH14" s="92">
        <v>53290</v>
      </c>
      <c r="BI14" s="71">
        <v>63000</v>
      </c>
      <c r="BJ14" s="71">
        <v>36010</v>
      </c>
      <c r="BK14" s="72">
        <f t="shared" si="16"/>
        <v>0.64023712486105966</v>
      </c>
      <c r="BL14" s="98">
        <f t="shared" si="17"/>
        <v>0.68838836069309828</v>
      </c>
      <c r="BM14" s="103">
        <v>0.57999999999999996</v>
      </c>
      <c r="BN14" s="102">
        <v>0.79210000000000003</v>
      </c>
      <c r="BO14" s="102">
        <v>0.25</v>
      </c>
      <c r="BP14" s="72">
        <f t="shared" si="18"/>
        <v>0.60874377421140002</v>
      </c>
      <c r="BQ14" s="73">
        <v>74.73</v>
      </c>
      <c r="BR14" s="73">
        <v>74.86</v>
      </c>
      <c r="BS14" s="73">
        <v>74.64</v>
      </c>
      <c r="BT14" s="72">
        <f t="shared" si="19"/>
        <v>0.40909090909092671</v>
      </c>
      <c r="BU14" s="74">
        <v>107.12281799316401</v>
      </c>
      <c r="BV14" s="71">
        <v>109.686958312988</v>
      </c>
      <c r="BW14" s="71">
        <v>98.313865661621094</v>
      </c>
      <c r="BX14" s="72">
        <f t="shared" si="20"/>
        <v>0.77454326642491444</v>
      </c>
      <c r="BY14" s="76">
        <v>8.1</v>
      </c>
      <c r="BZ14" s="76">
        <v>9.3000000000000007</v>
      </c>
      <c r="CA14" s="77">
        <v>5.9250481410161457</v>
      </c>
      <c r="CB14" s="72">
        <f t="shared" si="21"/>
        <v>0.64443937272595575</v>
      </c>
      <c r="CC14" s="92">
        <v>32690</v>
      </c>
      <c r="CD14" s="71">
        <v>44520</v>
      </c>
      <c r="CE14" s="71">
        <v>29030</v>
      </c>
      <c r="CF14" s="72">
        <f t="shared" si="22"/>
        <v>0.23628147191736604</v>
      </c>
      <c r="CG14" s="98">
        <f t="shared" si="23"/>
        <v>0.53461975887411262</v>
      </c>
    </row>
    <row r="15" spans="1:85" ht="15.75" x14ac:dyDescent="0.25">
      <c r="A15" s="69">
        <v>2017</v>
      </c>
      <c r="B15" s="97">
        <v>129</v>
      </c>
      <c r="C15" s="71">
        <v>149</v>
      </c>
      <c r="D15" s="71">
        <v>90</v>
      </c>
      <c r="E15" s="72">
        <f t="shared" si="0"/>
        <v>0.66101694915254239</v>
      </c>
      <c r="F15" s="73">
        <v>69.94</v>
      </c>
      <c r="G15" s="71">
        <v>70.52</v>
      </c>
      <c r="H15" s="71">
        <v>67.569999999999993</v>
      </c>
      <c r="I15" s="72">
        <f t="shared" si="1"/>
        <v>0.80338983050847534</v>
      </c>
      <c r="J15" s="74">
        <v>105.911430358887</v>
      </c>
      <c r="K15" s="71">
        <v>109.305770874023</v>
      </c>
      <c r="L15" s="71">
        <v>90.1439208984375</v>
      </c>
      <c r="M15" s="72">
        <f t="shared" si="2"/>
        <v>0.82285945670899252</v>
      </c>
      <c r="N15" s="71">
        <v>21.6</v>
      </c>
      <c r="O15" s="71">
        <v>31.2</v>
      </c>
      <c r="P15" s="71">
        <v>18.899999999999999</v>
      </c>
      <c r="Q15" s="72">
        <f t="shared" si="3"/>
        <v>0.21951219512195144</v>
      </c>
      <c r="R15" s="71">
        <v>3530</v>
      </c>
      <c r="S15" s="71">
        <v>4170</v>
      </c>
      <c r="T15" s="71">
        <v>1580</v>
      </c>
      <c r="U15" s="72">
        <f t="shared" si="4"/>
        <v>0.75289575289575295</v>
      </c>
      <c r="V15" s="98">
        <f t="shared" si="5"/>
        <v>0.65193483687754294</v>
      </c>
      <c r="W15" s="70">
        <v>309.7</v>
      </c>
      <c r="X15" s="71">
        <v>767</v>
      </c>
      <c r="Y15" s="71">
        <v>124.4</v>
      </c>
      <c r="Z15" s="72">
        <f t="shared" si="6"/>
        <v>0.28835978835978832</v>
      </c>
      <c r="AA15" s="73">
        <v>75.48</v>
      </c>
      <c r="AB15" s="73">
        <v>75.94</v>
      </c>
      <c r="AC15" s="73">
        <v>74.209999999999994</v>
      </c>
      <c r="AD15" s="72">
        <f t="shared" si="7"/>
        <v>0.73410404624277881</v>
      </c>
      <c r="AE15" s="74">
        <v>105.29159545898401</v>
      </c>
      <c r="AF15" s="71">
        <v>106.8459</v>
      </c>
      <c r="AG15" s="71">
        <v>97.950057983398395</v>
      </c>
      <c r="AH15" s="72">
        <f t="shared" si="8"/>
        <v>0.82527741183855119</v>
      </c>
      <c r="AI15" s="71">
        <v>6.9</v>
      </c>
      <c r="AJ15" s="71">
        <v>7</v>
      </c>
      <c r="AK15" s="71">
        <v>6.5</v>
      </c>
      <c r="AL15" s="72">
        <f t="shared" si="9"/>
        <v>0.80000000000000071</v>
      </c>
      <c r="AM15" s="92">
        <v>9680</v>
      </c>
      <c r="AN15" s="71">
        <v>10960</v>
      </c>
      <c r="AO15" s="71">
        <v>6540</v>
      </c>
      <c r="AP15" s="72">
        <f t="shared" si="10"/>
        <v>0.71040723981900455</v>
      </c>
      <c r="AQ15" s="98">
        <f t="shared" si="11"/>
        <v>0.67162969725202482</v>
      </c>
      <c r="AR15" s="70">
        <v>582</v>
      </c>
      <c r="AS15" s="71">
        <v>847</v>
      </c>
      <c r="AT15" s="71">
        <v>555</v>
      </c>
      <c r="AU15" s="72">
        <f t="shared" si="12"/>
        <v>9.2465753424657529E-2</v>
      </c>
      <c r="AV15" s="75">
        <v>83.2</v>
      </c>
      <c r="AW15" s="75">
        <v>83.7</v>
      </c>
      <c r="AX15" s="75">
        <v>80.599999999999994</v>
      </c>
      <c r="AY15" s="72">
        <f t="shared" si="13"/>
        <v>0.83870967741935532</v>
      </c>
      <c r="AZ15" s="74">
        <v>100.626953125</v>
      </c>
      <c r="BA15" s="71">
        <v>103.19295820000001</v>
      </c>
      <c r="BB15" s="71">
        <v>76.991547999999995</v>
      </c>
      <c r="BC15" s="72">
        <f t="shared" si="14"/>
        <v>0.90206614623360981</v>
      </c>
      <c r="BD15" s="75">
        <v>1.2</v>
      </c>
      <c r="BE15" s="75">
        <v>1.4</v>
      </c>
      <c r="BF15" s="75">
        <v>0.6</v>
      </c>
      <c r="BG15" s="72">
        <f t="shared" si="15"/>
        <v>0.75</v>
      </c>
      <c r="BH15" s="92">
        <v>54920</v>
      </c>
      <c r="BI15" s="71">
        <v>63000</v>
      </c>
      <c r="BJ15" s="71">
        <v>36010</v>
      </c>
      <c r="BK15" s="72">
        <f t="shared" si="16"/>
        <v>0.70062986291218965</v>
      </c>
      <c r="BL15" s="98">
        <f t="shared" si="17"/>
        <v>0.65677428799796256</v>
      </c>
      <c r="BM15" s="103">
        <v>0.61</v>
      </c>
      <c r="BN15" s="102">
        <v>0.79210000000000003</v>
      </c>
      <c r="BO15" s="102">
        <v>0.25</v>
      </c>
      <c r="BP15" s="72">
        <f t="shared" si="18"/>
        <v>0.66408411732152739</v>
      </c>
      <c r="BQ15" s="73">
        <v>74.72</v>
      </c>
      <c r="BR15" s="73">
        <v>74.86</v>
      </c>
      <c r="BS15" s="73">
        <v>74.64</v>
      </c>
      <c r="BT15" s="72">
        <f t="shared" si="19"/>
        <v>0.36363636363635776</v>
      </c>
      <c r="BU15" s="74">
        <v>104.857711791992</v>
      </c>
      <c r="BV15" s="71">
        <v>109.686958312988</v>
      </c>
      <c r="BW15" s="71">
        <v>98.313865661621094</v>
      </c>
      <c r="BX15" s="72">
        <f t="shared" si="20"/>
        <v>0.57537965538198799</v>
      </c>
      <c r="BY15" s="76">
        <v>9.3000000000000007</v>
      </c>
      <c r="BZ15" s="76">
        <v>9.3000000000000007</v>
      </c>
      <c r="CA15" s="77">
        <v>5.9250481410161457</v>
      </c>
      <c r="CB15" s="72">
        <f t="shared" si="21"/>
        <v>1</v>
      </c>
      <c r="CC15" s="92">
        <v>29400</v>
      </c>
      <c r="CD15" s="71">
        <v>44520</v>
      </c>
      <c r="CE15" s="71">
        <v>29030</v>
      </c>
      <c r="CF15" s="72">
        <f t="shared" si="22"/>
        <v>2.3886378308586184E-2</v>
      </c>
      <c r="CG15" s="98">
        <f t="shared" si="23"/>
        <v>0.52539730292969189</v>
      </c>
    </row>
    <row r="16" spans="1:85" ht="15.75" x14ac:dyDescent="0.25">
      <c r="A16" s="69">
        <v>2018</v>
      </c>
      <c r="B16" s="97">
        <v>113</v>
      </c>
      <c r="C16" s="71">
        <v>149</v>
      </c>
      <c r="D16" s="71">
        <v>90</v>
      </c>
      <c r="E16" s="72">
        <f t="shared" si="0"/>
        <v>0.38983050847457629</v>
      </c>
      <c r="F16" s="73">
        <v>70.34</v>
      </c>
      <c r="G16" s="71">
        <v>70.52</v>
      </c>
      <c r="H16" s="71">
        <v>67.569999999999993</v>
      </c>
      <c r="I16" s="72">
        <f t="shared" si="1"/>
        <v>0.93898305084746014</v>
      </c>
      <c r="J16" s="74">
        <v>106.41082000732401</v>
      </c>
      <c r="K16" s="71">
        <v>109.305770874023</v>
      </c>
      <c r="L16" s="71">
        <v>90.1439208984375</v>
      </c>
      <c r="M16" s="72">
        <f t="shared" si="2"/>
        <v>0.84892111824341032</v>
      </c>
      <c r="N16" s="71">
        <v>20.8</v>
      </c>
      <c r="O16" s="71">
        <v>31.2</v>
      </c>
      <c r="P16" s="71">
        <v>18.899999999999999</v>
      </c>
      <c r="Q16" s="72">
        <f t="shared" si="3"/>
        <v>0.15447154471544733</v>
      </c>
      <c r="R16" s="71">
        <v>3850</v>
      </c>
      <c r="S16" s="71">
        <v>4170</v>
      </c>
      <c r="T16" s="71">
        <v>1580</v>
      </c>
      <c r="U16" s="72">
        <f t="shared" si="4"/>
        <v>0.87644787644787647</v>
      </c>
      <c r="V16" s="98">
        <f t="shared" si="5"/>
        <v>0.64173081974575419</v>
      </c>
      <c r="W16" s="70">
        <v>273.8</v>
      </c>
      <c r="X16" s="71">
        <v>767</v>
      </c>
      <c r="Y16" s="71">
        <v>124.4</v>
      </c>
      <c r="Z16" s="72">
        <f t="shared" si="6"/>
        <v>0.23249299719887956</v>
      </c>
      <c r="AA16" s="73">
        <v>75.64</v>
      </c>
      <c r="AB16" s="73">
        <v>75.94</v>
      </c>
      <c r="AC16" s="73">
        <v>74.209999999999994</v>
      </c>
      <c r="AD16" s="72">
        <f t="shared" si="7"/>
        <v>0.82658959537572463</v>
      </c>
      <c r="AE16" s="74">
        <v>104.936004638672</v>
      </c>
      <c r="AF16" s="71">
        <v>106.8459</v>
      </c>
      <c r="AG16" s="71">
        <v>97.950057983398395</v>
      </c>
      <c r="AH16" s="72">
        <f t="shared" si="8"/>
        <v>0.78530471227302479</v>
      </c>
      <c r="AI16" s="71">
        <v>6.9</v>
      </c>
      <c r="AJ16" s="71">
        <v>7</v>
      </c>
      <c r="AK16" s="71">
        <v>6.5</v>
      </c>
      <c r="AL16" s="72">
        <f t="shared" si="9"/>
        <v>0.80000000000000071</v>
      </c>
      <c r="AM16" s="92">
        <v>10360</v>
      </c>
      <c r="AN16" s="71">
        <v>10960</v>
      </c>
      <c r="AO16" s="71">
        <v>6540</v>
      </c>
      <c r="AP16" s="72">
        <f t="shared" si="10"/>
        <v>0.86425339366515841</v>
      </c>
      <c r="AQ16" s="98">
        <f t="shared" si="11"/>
        <v>0.70172813970255765</v>
      </c>
      <c r="AR16" s="70">
        <v>587</v>
      </c>
      <c r="AS16" s="71">
        <v>847</v>
      </c>
      <c r="AT16" s="71">
        <v>555</v>
      </c>
      <c r="AU16" s="72">
        <f t="shared" si="12"/>
        <v>0.1095890410958904</v>
      </c>
      <c r="AV16" s="75">
        <v>83.4</v>
      </c>
      <c r="AW16" s="75">
        <v>83.7</v>
      </c>
      <c r="AX16" s="75">
        <v>80.599999999999994</v>
      </c>
      <c r="AY16" s="72">
        <f t="shared" si="13"/>
        <v>0.9032258064516141</v>
      </c>
      <c r="AZ16" s="74">
        <v>100.26187133789099</v>
      </c>
      <c r="BA16" s="71">
        <v>103.19295820000001</v>
      </c>
      <c r="BB16" s="71">
        <v>76.991547999999995</v>
      </c>
      <c r="BC16" s="72">
        <f t="shared" si="14"/>
        <v>0.88813247685008145</v>
      </c>
      <c r="BD16" s="75">
        <v>1.3</v>
      </c>
      <c r="BE16" s="75">
        <v>1.4</v>
      </c>
      <c r="BF16" s="75">
        <v>0.6</v>
      </c>
      <c r="BG16" s="72">
        <f t="shared" si="15"/>
        <v>0.87500000000000011</v>
      </c>
      <c r="BH16" s="92">
        <v>56560</v>
      </c>
      <c r="BI16" s="71">
        <v>63000</v>
      </c>
      <c r="BJ16" s="71">
        <v>36010</v>
      </c>
      <c r="BK16" s="72">
        <f t="shared" si="16"/>
        <v>0.76139310855872544</v>
      </c>
      <c r="BL16" s="98">
        <f t="shared" si="17"/>
        <v>0.70746808659126237</v>
      </c>
      <c r="BM16" s="103">
        <v>0.62</v>
      </c>
      <c r="BN16" s="102">
        <v>0.79210000000000003</v>
      </c>
      <c r="BO16" s="102">
        <v>0.25</v>
      </c>
      <c r="BP16" s="72">
        <f t="shared" si="18"/>
        <v>0.68253089835823644</v>
      </c>
      <c r="BQ16" s="73">
        <v>74.709999999999994</v>
      </c>
      <c r="BR16" s="73">
        <v>74.86</v>
      </c>
      <c r="BS16" s="73">
        <v>74.64</v>
      </c>
      <c r="BT16" s="72">
        <f t="shared" si="19"/>
        <v>0.31818181818178881</v>
      </c>
      <c r="BU16" s="74">
        <v>102.973922729492</v>
      </c>
      <c r="BV16" s="71">
        <v>109.686958312988</v>
      </c>
      <c r="BW16" s="71">
        <v>98.313865661621094</v>
      </c>
      <c r="BX16" s="72">
        <f t="shared" si="20"/>
        <v>0.4097440520992176</v>
      </c>
      <c r="BY16" s="79">
        <v>9</v>
      </c>
      <c r="BZ16" s="76">
        <v>9.3000000000000007</v>
      </c>
      <c r="CA16" s="77">
        <v>5.9250481410161457</v>
      </c>
      <c r="CB16" s="72">
        <f t="shared" si="21"/>
        <v>0.9111098431814888</v>
      </c>
      <c r="CC16" s="92">
        <v>29030</v>
      </c>
      <c r="CD16" s="71">
        <v>44520</v>
      </c>
      <c r="CE16" s="71">
        <v>29030</v>
      </c>
      <c r="CF16" s="72">
        <f t="shared" si="22"/>
        <v>0</v>
      </c>
      <c r="CG16" s="98">
        <f t="shared" si="23"/>
        <v>0.46431332236414635</v>
      </c>
    </row>
    <row r="17" spans="1:85" ht="15.75" x14ac:dyDescent="0.25">
      <c r="A17" s="69">
        <v>2019</v>
      </c>
      <c r="B17" s="97">
        <v>103</v>
      </c>
      <c r="C17" s="71">
        <v>149</v>
      </c>
      <c r="D17" s="71">
        <v>90</v>
      </c>
      <c r="E17" s="72">
        <f t="shared" si="0"/>
        <v>0.22033898305084745</v>
      </c>
      <c r="F17" s="73">
        <v>70.52</v>
      </c>
      <c r="G17" s="71">
        <v>70.52</v>
      </c>
      <c r="H17" s="71">
        <v>67.569999999999993</v>
      </c>
      <c r="I17" s="72">
        <f t="shared" si="1"/>
        <v>1</v>
      </c>
      <c r="J17" s="74">
        <v>90.9820556640625</v>
      </c>
      <c r="K17" s="71">
        <v>109.305770874023</v>
      </c>
      <c r="L17" s="71">
        <v>90.1439208984375</v>
      </c>
      <c r="M17" s="72">
        <f t="shared" si="2"/>
        <v>4.3739762428621688E-2</v>
      </c>
      <c r="N17" s="71">
        <v>20.100000000000001</v>
      </c>
      <c r="O17" s="71">
        <v>31.2</v>
      </c>
      <c r="P17" s="71">
        <v>18.899999999999999</v>
      </c>
      <c r="Q17" s="72">
        <f t="shared" si="3"/>
        <v>9.7560975609756323E-2</v>
      </c>
      <c r="R17" s="71">
        <v>4070</v>
      </c>
      <c r="S17" s="71">
        <v>4170</v>
      </c>
      <c r="T17" s="71">
        <v>1580</v>
      </c>
      <c r="U17" s="72">
        <f t="shared" si="4"/>
        <v>0.96138996138996136</v>
      </c>
      <c r="V17" s="98">
        <f t="shared" si="5"/>
        <v>0.46460593649583737</v>
      </c>
      <c r="W17" s="70">
        <v>256.60000000000002</v>
      </c>
      <c r="X17" s="71">
        <v>767</v>
      </c>
      <c r="Y17" s="71">
        <v>124.4</v>
      </c>
      <c r="Z17" s="72">
        <f t="shared" si="6"/>
        <v>0.20572673513849987</v>
      </c>
      <c r="AA17" s="73">
        <v>75.760000000000005</v>
      </c>
      <c r="AB17" s="73">
        <v>75.94</v>
      </c>
      <c r="AC17" s="73">
        <v>74.209999999999994</v>
      </c>
      <c r="AD17" s="72">
        <f t="shared" si="7"/>
        <v>0.89595375722543802</v>
      </c>
      <c r="AE17" s="74">
        <v>104.382522583008</v>
      </c>
      <c r="AF17" s="71">
        <v>106.8459</v>
      </c>
      <c r="AG17" s="71">
        <v>97.950057983398395</v>
      </c>
      <c r="AH17" s="72">
        <f t="shared" si="8"/>
        <v>0.72308664965106206</v>
      </c>
      <c r="AI17" s="71">
        <v>6.7</v>
      </c>
      <c r="AJ17" s="71">
        <v>7</v>
      </c>
      <c r="AK17" s="71">
        <v>6.5</v>
      </c>
      <c r="AL17" s="72">
        <f t="shared" si="9"/>
        <v>0.40000000000000036</v>
      </c>
      <c r="AM17" s="92">
        <v>10960</v>
      </c>
      <c r="AN17" s="71">
        <v>10960</v>
      </c>
      <c r="AO17" s="71">
        <v>6540</v>
      </c>
      <c r="AP17" s="72">
        <f t="shared" si="10"/>
        <v>1</v>
      </c>
      <c r="AQ17" s="98">
        <f t="shared" si="11"/>
        <v>0.64495342840300007</v>
      </c>
      <c r="AR17" s="70">
        <v>616</v>
      </c>
      <c r="AS17" s="71">
        <v>847</v>
      </c>
      <c r="AT17" s="71">
        <v>555</v>
      </c>
      <c r="AU17" s="72">
        <f t="shared" si="12"/>
        <v>0.2089041095890411</v>
      </c>
      <c r="AV17" s="75">
        <v>83.7</v>
      </c>
      <c r="AW17" s="75">
        <v>83.7</v>
      </c>
      <c r="AX17" s="75">
        <v>80.599999999999994</v>
      </c>
      <c r="AY17" s="72">
        <f t="shared" si="13"/>
        <v>1</v>
      </c>
      <c r="AZ17" s="74">
        <v>100.692581176758</v>
      </c>
      <c r="BA17" s="71">
        <v>103.19295820000001</v>
      </c>
      <c r="BB17" s="71">
        <v>76.991547999999995</v>
      </c>
      <c r="BC17" s="72">
        <f t="shared" si="14"/>
        <v>0.90457089888841147</v>
      </c>
      <c r="BD17" s="75">
        <v>0.6</v>
      </c>
      <c r="BE17" s="75">
        <v>1.4</v>
      </c>
      <c r="BF17" s="75">
        <v>0.6</v>
      </c>
      <c r="BG17" s="72">
        <f t="shared" si="15"/>
        <v>0</v>
      </c>
      <c r="BH17" s="92">
        <v>58910</v>
      </c>
      <c r="BI17" s="71">
        <v>63000</v>
      </c>
      <c r="BJ17" s="71">
        <v>36010</v>
      </c>
      <c r="BK17" s="72">
        <f t="shared" si="16"/>
        <v>0.84846239347906627</v>
      </c>
      <c r="BL17" s="98">
        <f t="shared" si="17"/>
        <v>0.59238748039130384</v>
      </c>
      <c r="BM17" s="103">
        <v>0.6</v>
      </c>
      <c r="BN17" s="102">
        <v>0.79210000000000003</v>
      </c>
      <c r="BO17" s="102">
        <v>0.25</v>
      </c>
      <c r="BP17" s="72">
        <f t="shared" si="18"/>
        <v>0.64563733628481823</v>
      </c>
      <c r="BQ17" s="73">
        <v>74.75</v>
      </c>
      <c r="BR17" s="73">
        <v>74.86</v>
      </c>
      <c r="BS17" s="73">
        <v>74.64</v>
      </c>
      <c r="BT17" s="72">
        <f t="shared" si="19"/>
        <v>0.5</v>
      </c>
      <c r="BU17" s="74">
        <v>100.099494934082</v>
      </c>
      <c r="BV17" s="71">
        <v>109.686958312988</v>
      </c>
      <c r="BW17" s="71">
        <v>98.313865661621094</v>
      </c>
      <c r="BX17" s="72">
        <f t="shared" si="20"/>
        <v>0.15700472397420404</v>
      </c>
      <c r="BY17" s="80">
        <v>8.4169634185820659</v>
      </c>
      <c r="BZ17" s="76">
        <v>9.3000000000000007</v>
      </c>
      <c r="CA17" s="77">
        <v>5.9250481410161457</v>
      </c>
      <c r="CB17" s="72">
        <f t="shared" si="21"/>
        <v>0.7383557993375931</v>
      </c>
      <c r="CC17" s="92">
        <v>31880</v>
      </c>
      <c r="CD17" s="71">
        <v>44520</v>
      </c>
      <c r="CE17" s="71">
        <v>29030</v>
      </c>
      <c r="CF17" s="72">
        <f t="shared" si="22"/>
        <v>0.18398967075532602</v>
      </c>
      <c r="CG17" s="98">
        <f t="shared" si="23"/>
        <v>0.44499750607038829</v>
      </c>
    </row>
    <row r="18" spans="1:85" ht="15.75" x14ac:dyDescent="0.25">
      <c r="A18" s="69">
        <v>2020</v>
      </c>
      <c r="B18" s="97">
        <v>94</v>
      </c>
      <c r="C18" s="71">
        <v>149</v>
      </c>
      <c r="D18" s="71">
        <v>90</v>
      </c>
      <c r="E18" s="72">
        <f t="shared" si="0"/>
        <v>6.7796610169491525E-2</v>
      </c>
      <c r="F18" s="73">
        <v>68.81</v>
      </c>
      <c r="G18" s="71">
        <v>70.52</v>
      </c>
      <c r="H18" s="71">
        <v>67.569999999999993</v>
      </c>
      <c r="I18" s="72">
        <f t="shared" si="1"/>
        <v>0.42033898305085016</v>
      </c>
      <c r="J18" s="74">
        <v>90.1439208984375</v>
      </c>
      <c r="K18" s="71">
        <v>109.305770874023</v>
      </c>
      <c r="L18" s="71">
        <v>90.1439208984375</v>
      </c>
      <c r="M18" s="72">
        <f t="shared" si="2"/>
        <v>0</v>
      </c>
      <c r="N18" s="71">
        <v>19.5</v>
      </c>
      <c r="O18" s="71">
        <v>31.2</v>
      </c>
      <c r="P18" s="71">
        <v>18.899999999999999</v>
      </c>
      <c r="Q18" s="72">
        <f t="shared" si="3"/>
        <v>4.8780487804878161E-2</v>
      </c>
      <c r="R18" s="71">
        <v>3900</v>
      </c>
      <c r="S18" s="71">
        <v>4170</v>
      </c>
      <c r="T18" s="71">
        <v>1580</v>
      </c>
      <c r="U18" s="72">
        <f t="shared" si="4"/>
        <v>0.89575289575289574</v>
      </c>
      <c r="V18" s="98">
        <f t="shared" si="5"/>
        <v>0.28653379535562312</v>
      </c>
      <c r="W18" s="70">
        <v>124.4</v>
      </c>
      <c r="X18" s="71">
        <v>767</v>
      </c>
      <c r="Y18" s="71">
        <v>124.4</v>
      </c>
      <c r="Z18" s="72">
        <f t="shared" si="6"/>
        <v>0</v>
      </c>
      <c r="AA18" s="73">
        <v>75.94</v>
      </c>
      <c r="AB18" s="73">
        <v>75.94</v>
      </c>
      <c r="AC18" s="73">
        <v>74.209999999999994</v>
      </c>
      <c r="AD18" s="72">
        <f t="shared" si="7"/>
        <v>1</v>
      </c>
      <c r="AE18" s="74">
        <v>103.911987304688</v>
      </c>
      <c r="AF18" s="71">
        <v>106.8459</v>
      </c>
      <c r="AG18" s="71">
        <v>97.950057983398395</v>
      </c>
      <c r="AH18" s="72">
        <f t="shared" si="8"/>
        <v>0.67019280582583707</v>
      </c>
      <c r="AI18" s="71">
        <v>6.6</v>
      </c>
      <c r="AJ18" s="71">
        <v>7</v>
      </c>
      <c r="AK18" s="71">
        <v>6.5</v>
      </c>
      <c r="AL18" s="72">
        <f t="shared" si="9"/>
        <v>0.19999999999999929</v>
      </c>
      <c r="AM18" s="92">
        <v>10320</v>
      </c>
      <c r="AN18" s="71">
        <v>10960</v>
      </c>
      <c r="AO18" s="71">
        <v>6540</v>
      </c>
      <c r="AP18" s="72">
        <f t="shared" si="10"/>
        <v>0.85520361990950222</v>
      </c>
      <c r="AQ18" s="98">
        <f t="shared" si="11"/>
        <v>0.54507928514706772</v>
      </c>
      <c r="AR18" s="70">
        <v>656</v>
      </c>
      <c r="AS18" s="71">
        <v>847</v>
      </c>
      <c r="AT18" s="71">
        <v>555</v>
      </c>
      <c r="AU18" s="72">
        <f t="shared" si="12"/>
        <v>0.3458904109589041</v>
      </c>
      <c r="AV18" s="75">
        <v>83.7</v>
      </c>
      <c r="AW18" s="75">
        <v>83.7</v>
      </c>
      <c r="AX18" s="75">
        <v>80.599999999999994</v>
      </c>
      <c r="AY18" s="72">
        <f t="shared" si="13"/>
        <v>1</v>
      </c>
      <c r="AZ18" s="74">
        <v>100.53591156005901</v>
      </c>
      <c r="BA18" s="71">
        <v>103.19295820000001</v>
      </c>
      <c r="BB18" s="71">
        <v>76.991547999999995</v>
      </c>
      <c r="BC18" s="72">
        <f t="shared" si="14"/>
        <v>0.89859146436549431</v>
      </c>
      <c r="BD18" s="75">
        <v>0.8</v>
      </c>
      <c r="BE18" s="75">
        <v>1.4</v>
      </c>
      <c r="BF18" s="75">
        <v>0.6</v>
      </c>
      <c r="BG18" s="72">
        <f t="shared" si="15"/>
        <v>0.25000000000000011</v>
      </c>
      <c r="BH18" s="92">
        <v>55260</v>
      </c>
      <c r="BI18" s="71">
        <v>63000</v>
      </c>
      <c r="BJ18" s="71">
        <v>36010</v>
      </c>
      <c r="BK18" s="72">
        <f t="shared" si="16"/>
        <v>0.71322712115598375</v>
      </c>
      <c r="BL18" s="98">
        <f t="shared" si="17"/>
        <v>0.64154179929607658</v>
      </c>
      <c r="BM18" s="103">
        <v>0.61</v>
      </c>
      <c r="BN18" s="102">
        <v>0.79210000000000003</v>
      </c>
      <c r="BO18" s="102">
        <v>0.25</v>
      </c>
      <c r="BP18" s="72">
        <f t="shared" si="18"/>
        <v>0.66408411732152739</v>
      </c>
      <c r="BQ18" s="73">
        <v>74.8</v>
      </c>
      <c r="BR18" s="73">
        <v>74.86</v>
      </c>
      <c r="BS18" s="73">
        <v>74.64</v>
      </c>
      <c r="BT18" s="72">
        <f t="shared" si="19"/>
        <v>0.72727272727271552</v>
      </c>
      <c r="BU18" s="74">
        <v>98.313865661621094</v>
      </c>
      <c r="BV18" s="71">
        <v>109.686958312988</v>
      </c>
      <c r="BW18" s="71">
        <v>98.313865661621094</v>
      </c>
      <c r="BX18" s="72">
        <f t="shared" si="20"/>
        <v>0</v>
      </c>
      <c r="BY18" s="77">
        <v>8.310249307479225</v>
      </c>
      <c r="BZ18" s="76">
        <v>9.3000000000000007</v>
      </c>
      <c r="CA18" s="77">
        <v>5.9250481410161457</v>
      </c>
      <c r="CB18" s="72">
        <f t="shared" si="21"/>
        <v>0.70673635243532806</v>
      </c>
      <c r="CC18" s="92">
        <v>31210</v>
      </c>
      <c r="CD18" s="71">
        <v>44520</v>
      </c>
      <c r="CE18" s="71">
        <v>29030</v>
      </c>
      <c r="CF18" s="72">
        <f t="shared" si="22"/>
        <v>0.1407359586830213</v>
      </c>
      <c r="CG18" s="98">
        <f t="shared" si="23"/>
        <v>0.4477658311425185</v>
      </c>
    </row>
    <row r="19" spans="1:85" ht="16.5" thickBot="1" x14ac:dyDescent="0.3">
      <c r="A19" s="81">
        <v>2021</v>
      </c>
      <c r="B19" s="82">
        <v>90</v>
      </c>
      <c r="C19" s="83">
        <v>149</v>
      </c>
      <c r="D19" s="83">
        <v>90</v>
      </c>
      <c r="E19" s="84">
        <f>(B19-D19)/(C19-D19)</f>
        <v>0</v>
      </c>
      <c r="F19" s="85">
        <v>67.569999999999993</v>
      </c>
      <c r="G19" s="83">
        <v>70.52</v>
      </c>
      <c r="H19" s="83">
        <v>67.569999999999993</v>
      </c>
      <c r="I19" s="84">
        <f>(F19-H19)/(G19-H19)</f>
        <v>0</v>
      </c>
      <c r="J19" s="86">
        <f>_xlfn.FORECAST.LINEAR(A19, J5:J18, A5:A18)</f>
        <v>96.765457656357739</v>
      </c>
      <c r="K19" s="83">
        <v>109.305770874023</v>
      </c>
      <c r="L19" s="83">
        <v>90.1439208984375</v>
      </c>
      <c r="M19" s="84">
        <f>(J19-L19)/(K19-L19)</f>
        <v>0.34555832377128898</v>
      </c>
      <c r="N19" s="83">
        <v>18.899999999999999</v>
      </c>
      <c r="O19" s="83">
        <v>31.2</v>
      </c>
      <c r="P19" s="83">
        <v>18.899999999999999</v>
      </c>
      <c r="Q19" s="84">
        <f>(N19-P19)/(O19-P19)</f>
        <v>0</v>
      </c>
      <c r="R19" s="83">
        <v>4170</v>
      </c>
      <c r="S19" s="83">
        <v>4170</v>
      </c>
      <c r="T19" s="83">
        <v>1580</v>
      </c>
      <c r="U19" s="84">
        <f>(R19-T19)/(S19-T19)</f>
        <v>1</v>
      </c>
      <c r="V19" s="99">
        <f t="shared" si="5"/>
        <v>0.2691116647542578</v>
      </c>
      <c r="W19" s="87">
        <v>157.80000000000001</v>
      </c>
      <c r="X19" s="83">
        <v>767</v>
      </c>
      <c r="Y19" s="83">
        <v>124.4</v>
      </c>
      <c r="Z19" s="84">
        <f>(W19-Y19)/(X19-Y19)</f>
        <v>5.197634609399316E-2</v>
      </c>
      <c r="AA19" s="85">
        <v>74.88</v>
      </c>
      <c r="AB19" s="85">
        <v>75.94</v>
      </c>
      <c r="AC19" s="85">
        <v>74.209999999999994</v>
      </c>
      <c r="AD19" s="84">
        <f>(AA19-AC19)/(AB19-AC19)</f>
        <v>0.38728323699421974</v>
      </c>
      <c r="AE19" s="86">
        <v>106.8459</v>
      </c>
      <c r="AF19" s="83">
        <v>106.8459</v>
      </c>
      <c r="AG19" s="83">
        <v>97.950057983398395</v>
      </c>
      <c r="AH19" s="88">
        <f t="shared" si="8"/>
        <v>1</v>
      </c>
      <c r="AI19" s="83">
        <v>6.5</v>
      </c>
      <c r="AJ19" s="83">
        <v>7</v>
      </c>
      <c r="AK19" s="83">
        <v>6.5</v>
      </c>
      <c r="AL19" s="84">
        <f>(AI19-AK19)/(AJ19-AK19)</f>
        <v>0</v>
      </c>
      <c r="AM19" s="93">
        <v>10710</v>
      </c>
      <c r="AN19" s="83">
        <v>10960</v>
      </c>
      <c r="AO19" s="83">
        <v>6540</v>
      </c>
      <c r="AP19" s="88">
        <f>(AM19-AO19)/(AN19-AO19)</f>
        <v>0.9434389140271493</v>
      </c>
      <c r="AQ19" s="99">
        <f t="shared" si="11"/>
        <v>0.47653969942307245</v>
      </c>
      <c r="AR19" s="87">
        <v>847</v>
      </c>
      <c r="AS19" s="83">
        <v>847</v>
      </c>
      <c r="AT19" s="83">
        <v>555</v>
      </c>
      <c r="AU19" s="88">
        <f>(AR19-AT19)/(AS19-AT19)</f>
        <v>1</v>
      </c>
      <c r="AV19" s="89">
        <v>83.2</v>
      </c>
      <c r="AW19" s="89">
        <v>83.7</v>
      </c>
      <c r="AX19" s="89">
        <v>80.599999999999994</v>
      </c>
      <c r="AY19" s="88">
        <f>(AV19-AX19)/(AW19-AX19)</f>
        <v>0.83870967741935532</v>
      </c>
      <c r="AZ19" s="86">
        <v>103.19295820000001</v>
      </c>
      <c r="BA19" s="83">
        <v>103.19295820000001</v>
      </c>
      <c r="BB19" s="83">
        <v>76.991547999999995</v>
      </c>
      <c r="BC19" s="88">
        <f>(AZ19-BB19)/(BA19-BB19)</f>
        <v>1</v>
      </c>
      <c r="BD19" s="89">
        <v>1.1000000000000001</v>
      </c>
      <c r="BE19" s="89">
        <v>1.4</v>
      </c>
      <c r="BF19" s="89">
        <v>0.6</v>
      </c>
      <c r="BG19" s="84">
        <f>(BD19-BF19)/(BE19-BF19)</f>
        <v>0.62500000000000022</v>
      </c>
      <c r="BH19" s="93">
        <v>63000</v>
      </c>
      <c r="BI19" s="83">
        <v>63000</v>
      </c>
      <c r="BJ19" s="83">
        <v>36010</v>
      </c>
      <c r="BK19" s="88">
        <f>(BH19-BJ19)/(BI19-BJ19)</f>
        <v>1</v>
      </c>
      <c r="BL19" s="99">
        <f t="shared" si="17"/>
        <v>0.89274193548387104</v>
      </c>
      <c r="BM19" s="104">
        <v>0.61</v>
      </c>
      <c r="BN19" s="105">
        <v>0.79210000000000003</v>
      </c>
      <c r="BO19" s="105">
        <v>0.25</v>
      </c>
      <c r="BP19" s="88">
        <f>(BM19-BO19)/(BN19-BO19)</f>
        <v>0.66408411732152739</v>
      </c>
      <c r="BQ19" s="85">
        <v>74.64</v>
      </c>
      <c r="BR19" s="85">
        <v>74.86</v>
      </c>
      <c r="BS19" s="85">
        <v>74.64</v>
      </c>
      <c r="BT19" s="88">
        <f>(BQ19-BS19)/(BR19-BS19)</f>
        <v>0</v>
      </c>
      <c r="BU19" s="86">
        <f>_xlfn.FORECAST.LINEAR(A19, BU5:BU18, A5:A18)</f>
        <v>100.70860256991546</v>
      </c>
      <c r="BV19" s="83">
        <v>109.686958312988</v>
      </c>
      <c r="BW19" s="83">
        <v>98.313865661621094</v>
      </c>
      <c r="BX19" s="88">
        <f>(BU19-BW19)/(BV19-BW19)</f>
        <v>0.2105616283717292</v>
      </c>
      <c r="BY19" s="90">
        <v>5.9250481410161457</v>
      </c>
      <c r="BZ19" s="91">
        <v>9.3000000000000007</v>
      </c>
      <c r="CA19" s="90">
        <v>5.9250481410161457</v>
      </c>
      <c r="CB19" s="84">
        <f>(BY19-CA19)/(BZ19-CA19)</f>
        <v>0</v>
      </c>
      <c r="CC19" s="93">
        <v>30320</v>
      </c>
      <c r="CD19" s="83">
        <v>44520</v>
      </c>
      <c r="CE19" s="83">
        <v>29030</v>
      </c>
      <c r="CF19" s="88">
        <f>(CC19-CE19)/(CD19-CE19)</f>
        <v>8.3279535183989672E-2</v>
      </c>
      <c r="CG19" s="99">
        <f t="shared" si="23"/>
        <v>0.19158505617544924</v>
      </c>
    </row>
    <row r="20" spans="1:85" x14ac:dyDescent="0.25">
      <c r="B20" s="20"/>
      <c r="C20" s="20"/>
      <c r="D20" s="20"/>
      <c r="G20" s="20"/>
      <c r="H20" s="20"/>
      <c r="K20" s="20"/>
      <c r="L20" s="20"/>
      <c r="O20" s="20"/>
      <c r="P20" s="20"/>
      <c r="S20" s="20"/>
      <c r="T20" s="20"/>
      <c r="X20" s="20"/>
      <c r="Y20" s="20"/>
      <c r="AA20" s="19"/>
      <c r="AB20" s="20"/>
      <c r="AC20" s="20"/>
      <c r="AF20" s="20"/>
      <c r="AG20" s="20"/>
      <c r="AJ20" s="20"/>
      <c r="AK20" s="20"/>
      <c r="AN20" s="20"/>
      <c r="AO20" s="20"/>
      <c r="AS20" s="20"/>
      <c r="AT20" s="20"/>
      <c r="AW20" s="20"/>
      <c r="AX20" s="20"/>
      <c r="BA20" s="20"/>
      <c r="BB20" s="20"/>
      <c r="BE20" s="20"/>
      <c r="BF20" s="20"/>
      <c r="BI20" s="20"/>
      <c r="BJ20" s="20"/>
      <c r="BN20" s="20"/>
      <c r="BO20" s="20"/>
      <c r="BR20" s="20"/>
      <c r="BS20" s="20"/>
      <c r="BV20" s="20"/>
      <c r="BW20" s="20"/>
      <c r="BZ20" s="20"/>
      <c r="CA20" s="20"/>
      <c r="CD20" s="20"/>
      <c r="CE20" s="20"/>
    </row>
    <row r="21" spans="1:85" x14ac:dyDescent="0.25">
      <c r="A21" s="50"/>
      <c r="B21" s="20"/>
      <c r="C21" s="20"/>
      <c r="D21" s="20"/>
      <c r="G21" s="20"/>
      <c r="H21" s="20"/>
      <c r="K21" s="20"/>
      <c r="L21" s="20"/>
      <c r="O21" s="20"/>
      <c r="P21" s="20"/>
      <c r="S21" s="20"/>
      <c r="T21" s="20"/>
      <c r="X21" s="20"/>
      <c r="Y21" s="20"/>
      <c r="AB21" s="20"/>
      <c r="AC21" s="20"/>
      <c r="AF21" s="20"/>
      <c r="AG21" s="20"/>
      <c r="AJ21" s="20"/>
      <c r="AK21" s="20"/>
      <c r="AN21" s="20"/>
      <c r="AO21" s="20"/>
      <c r="AS21" s="20"/>
      <c r="AT21" s="20"/>
      <c r="AW21" s="20"/>
      <c r="AX21" s="20"/>
      <c r="AZ21" s="40"/>
      <c r="BA21" s="20"/>
      <c r="BB21" s="20"/>
      <c r="BE21" s="20"/>
      <c r="BF21" s="20"/>
      <c r="BI21" s="20"/>
      <c r="BJ21" s="20"/>
      <c r="BN21" s="20"/>
      <c r="BO21" s="20"/>
      <c r="BR21" s="20"/>
      <c r="BS21" s="20"/>
      <c r="BV21" s="20"/>
      <c r="BW21" s="20"/>
      <c r="BZ21" s="20"/>
      <c r="CA21" s="20"/>
      <c r="CD21" s="20"/>
      <c r="CE21" s="20"/>
    </row>
    <row r="22" spans="1:85" s="44" customFormat="1" x14ac:dyDescent="0.25">
      <c r="A22" s="50"/>
      <c r="B22" s="20"/>
      <c r="C22" s="20"/>
      <c r="D22" s="20"/>
      <c r="E22" s="20"/>
      <c r="G22" s="20"/>
      <c r="H22" s="20"/>
      <c r="I22" s="20"/>
      <c r="K22" s="20"/>
      <c r="L22" s="20"/>
      <c r="M22" s="20"/>
      <c r="O22" s="20"/>
      <c r="P22" s="20"/>
      <c r="Q22" s="20"/>
      <c r="S22" s="20"/>
      <c r="T22" s="20"/>
      <c r="U22" s="20"/>
      <c r="V22" s="100"/>
      <c r="X22" s="20"/>
      <c r="Y22" s="20"/>
      <c r="Z22" s="20"/>
      <c r="AB22" s="20"/>
      <c r="AC22" s="20"/>
      <c r="AD22" s="20"/>
      <c r="AF22" s="20"/>
      <c r="AG22" s="20"/>
      <c r="AH22" s="20"/>
      <c r="AJ22" s="20"/>
      <c r="AK22" s="20"/>
      <c r="AL22" s="20"/>
      <c r="AN22" s="20"/>
      <c r="AO22" s="20"/>
      <c r="AP22" s="20"/>
      <c r="AS22" s="20"/>
      <c r="AT22" s="20"/>
      <c r="AU22" s="20"/>
      <c r="AW22" s="20"/>
      <c r="AX22" s="20"/>
      <c r="AY22" s="20"/>
      <c r="AZ22" s="40"/>
      <c r="BA22" s="20"/>
      <c r="BB22" s="20"/>
      <c r="BC22" s="20"/>
      <c r="BE22" s="20"/>
      <c r="BF22" s="20"/>
      <c r="BG22" s="20"/>
      <c r="BH22" s="3"/>
      <c r="BI22" s="20"/>
      <c r="BJ22" s="20"/>
      <c r="BK22" s="20"/>
      <c r="BM22" s="2"/>
      <c r="BN22" s="20"/>
      <c r="BO22" s="20"/>
      <c r="BP22" s="20"/>
      <c r="BR22" s="20"/>
      <c r="BS22" s="20"/>
      <c r="BT22" s="20"/>
      <c r="BV22" s="20"/>
      <c r="BW22" s="20"/>
      <c r="BX22" s="20"/>
      <c r="BZ22" s="20"/>
      <c r="CA22" s="20"/>
      <c r="CB22" s="20"/>
      <c r="CC22" s="3"/>
      <c r="CD22" s="20"/>
      <c r="CE22" s="20"/>
      <c r="CF22" s="20"/>
    </row>
    <row r="23" spans="1:85" s="44" customFormat="1" x14ac:dyDescent="0.25">
      <c r="A23" s="50"/>
      <c r="B23" s="143"/>
      <c r="C23" s="144"/>
      <c r="D23" s="144"/>
      <c r="E23" s="144"/>
      <c r="F23" s="145"/>
      <c r="G23" s="145"/>
      <c r="H23" s="145"/>
      <c r="I23" s="145"/>
      <c r="J23" s="145"/>
      <c r="K23" s="38"/>
      <c r="L23" s="38"/>
      <c r="M23" s="38"/>
      <c r="O23" s="38"/>
      <c r="P23" s="38"/>
      <c r="Q23" s="38"/>
      <c r="S23" s="38"/>
      <c r="T23" s="38"/>
      <c r="U23" s="38"/>
      <c r="V23" s="100"/>
      <c r="AE23" s="51"/>
      <c r="AF23" s="38"/>
      <c r="AG23" s="38"/>
      <c r="AH23" s="38"/>
      <c r="AJ23" s="38"/>
      <c r="AK23" s="38"/>
      <c r="AL23" s="38"/>
      <c r="AN23" s="38"/>
      <c r="AO23" s="38"/>
      <c r="AP23" s="38"/>
      <c r="AY23" s="20"/>
      <c r="AZ23" s="40"/>
      <c r="BA23" s="38"/>
      <c r="BB23" s="38"/>
      <c r="BC23" s="38"/>
      <c r="BE23" s="38"/>
      <c r="BF23" s="38"/>
      <c r="BG23" s="38"/>
      <c r="BH23" s="3"/>
      <c r="BI23" s="38"/>
      <c r="BJ23" s="38"/>
      <c r="BK23" s="38"/>
      <c r="BM23" s="2"/>
      <c r="BT23" s="20"/>
      <c r="BV23" s="38"/>
      <c r="BW23" s="38"/>
      <c r="BX23" s="38"/>
      <c r="BZ23" s="38"/>
      <c r="CA23" s="38"/>
      <c r="CB23" s="38"/>
      <c r="CC23" s="3"/>
      <c r="CD23" s="38"/>
      <c r="CE23" s="38"/>
      <c r="CF23" s="38"/>
    </row>
    <row r="24" spans="1:85" s="44" customFormat="1" x14ac:dyDescent="0.25">
      <c r="A24" s="50"/>
      <c r="E24" s="20"/>
      <c r="F24" s="20"/>
      <c r="I24" s="20"/>
      <c r="M24" s="20"/>
      <c r="Q24" s="20"/>
      <c r="R24" s="20"/>
      <c r="U24" s="20"/>
      <c r="V24" s="100"/>
      <c r="Z24" s="20"/>
      <c r="AD24" s="20"/>
      <c r="AH24" s="20"/>
      <c r="AL24" s="20"/>
      <c r="AP24" s="20"/>
      <c r="AU24" s="20"/>
      <c r="AY24" s="20"/>
      <c r="AZ24" s="40"/>
      <c r="BC24" s="20"/>
      <c r="BG24" s="20"/>
      <c r="BH24" s="3"/>
      <c r="BK24" s="20"/>
      <c r="BM24" s="2"/>
      <c r="BP24" s="20"/>
      <c r="BT24" s="20"/>
      <c r="BX24" s="20"/>
      <c r="CB24" s="20"/>
      <c r="CC24" s="3"/>
      <c r="CF24" s="20"/>
    </row>
    <row r="25" spans="1:85" x14ac:dyDescent="0.25">
      <c r="A25" s="25"/>
      <c r="B25" s="23"/>
      <c r="C25" s="52"/>
      <c r="D25" s="52"/>
      <c r="E25" s="55"/>
      <c r="G25" s="52"/>
      <c r="H25" s="52"/>
      <c r="I25" s="55"/>
      <c r="K25" s="52"/>
      <c r="L25" s="52"/>
      <c r="M25" s="55"/>
      <c r="O25" s="52"/>
      <c r="P25" s="52"/>
      <c r="Q25" s="55"/>
      <c r="S25" s="52"/>
      <c r="T25" s="52"/>
      <c r="U25" s="55"/>
      <c r="X25" s="52"/>
      <c r="Y25" s="52"/>
      <c r="Z25" s="55"/>
      <c r="AB25" s="52"/>
      <c r="AC25" s="52"/>
      <c r="AD25" s="55"/>
      <c r="AF25" s="52"/>
      <c r="AG25" s="52"/>
      <c r="AH25" s="55"/>
      <c r="AJ25" s="52"/>
      <c r="AK25" s="52"/>
      <c r="AL25" s="55"/>
      <c r="AN25" s="52"/>
      <c r="AO25" s="52"/>
      <c r="AP25" s="55"/>
      <c r="AS25" s="52"/>
      <c r="AT25" s="52"/>
      <c r="AU25" s="55"/>
      <c r="AW25" s="52"/>
      <c r="AX25" s="52"/>
      <c r="AY25" s="55"/>
      <c r="AZ25" s="40"/>
      <c r="BA25" s="52"/>
      <c r="BB25" s="52"/>
      <c r="BC25" s="55"/>
      <c r="BE25" s="52"/>
      <c r="BF25" s="52"/>
      <c r="BG25" s="55"/>
      <c r="BI25" s="52"/>
      <c r="BJ25" s="52"/>
      <c r="BK25" s="55"/>
      <c r="BN25" s="52"/>
      <c r="BO25" s="52"/>
      <c r="BP25" s="55"/>
      <c r="BR25" s="52"/>
      <c r="BS25" s="52"/>
      <c r="BT25" s="55"/>
      <c r="BV25" s="52"/>
      <c r="BW25" s="52"/>
      <c r="BX25" s="55"/>
      <c r="BZ25" s="52"/>
      <c r="CA25" s="52"/>
      <c r="CB25" s="55"/>
      <c r="CD25" s="52"/>
      <c r="CE25" s="52"/>
      <c r="CF25" s="55"/>
    </row>
    <row r="26" spans="1:85" x14ac:dyDescent="0.25">
      <c r="A26" s="26"/>
      <c r="B26" s="24"/>
      <c r="C26" s="52"/>
      <c r="D26" s="52"/>
      <c r="E26" s="55"/>
      <c r="G26" s="52"/>
      <c r="H26" s="52"/>
      <c r="I26" s="55"/>
      <c r="K26" s="52"/>
      <c r="L26" s="52"/>
      <c r="M26" s="55"/>
      <c r="O26" s="52"/>
      <c r="P26" s="52"/>
      <c r="Q26" s="55"/>
      <c r="S26" s="52"/>
      <c r="T26" s="52"/>
      <c r="U26" s="55"/>
      <c r="X26" s="52"/>
      <c r="Y26" s="52"/>
      <c r="Z26" s="55"/>
      <c r="AB26" s="52"/>
      <c r="AC26" s="52"/>
      <c r="AD26" s="55"/>
      <c r="AF26" s="52"/>
      <c r="AG26" s="52"/>
      <c r="AH26" s="55"/>
      <c r="AJ26" s="52"/>
      <c r="AK26" s="52"/>
      <c r="AL26" s="55"/>
      <c r="AN26" s="52"/>
      <c r="AO26" s="52"/>
      <c r="AP26" s="55"/>
      <c r="AS26" s="52"/>
      <c r="AT26" s="52"/>
      <c r="AU26" s="55"/>
      <c r="AW26" s="52"/>
      <c r="AX26" s="52"/>
      <c r="AY26" s="55"/>
      <c r="AZ26" s="40"/>
      <c r="BA26" s="52"/>
      <c r="BB26" s="52"/>
      <c r="BC26" s="55"/>
      <c r="BE26" s="52"/>
      <c r="BF26" s="52"/>
      <c r="BG26" s="55"/>
      <c r="BI26" s="52"/>
      <c r="BJ26" s="52"/>
      <c r="BK26" s="55"/>
      <c r="BN26" s="52"/>
      <c r="BO26" s="52"/>
      <c r="BP26" s="55"/>
      <c r="BR26" s="52"/>
      <c r="BS26" s="52"/>
      <c r="BT26" s="55"/>
      <c r="BV26" s="52"/>
      <c r="BW26" s="52"/>
      <c r="BX26" s="55"/>
      <c r="BZ26" s="52"/>
      <c r="CA26" s="52"/>
      <c r="CB26" s="55"/>
      <c r="CD26" s="52"/>
      <c r="CE26" s="52"/>
      <c r="CF26" s="55"/>
    </row>
    <row r="27" spans="1:85" x14ac:dyDescent="0.25">
      <c r="A27" s="26"/>
      <c r="B27" s="24"/>
      <c r="C27" s="52"/>
      <c r="D27" s="52"/>
      <c r="E27" s="55"/>
      <c r="G27" s="52"/>
      <c r="H27" s="52"/>
      <c r="I27" s="55"/>
      <c r="K27" s="52"/>
      <c r="L27" s="52"/>
      <c r="M27" s="55"/>
      <c r="O27" s="52"/>
      <c r="P27" s="52"/>
      <c r="Q27" s="55"/>
      <c r="S27" s="52"/>
      <c r="T27" s="52"/>
      <c r="U27" s="55"/>
      <c r="X27" s="52"/>
      <c r="Y27" s="52"/>
      <c r="Z27" s="55"/>
      <c r="AB27" s="52"/>
      <c r="AC27" s="52"/>
      <c r="AD27" s="55"/>
      <c r="AF27" s="52"/>
      <c r="AG27" s="52"/>
      <c r="AH27" s="55"/>
      <c r="AJ27" s="52"/>
      <c r="AK27" s="52"/>
      <c r="AL27" s="55"/>
      <c r="AN27" s="52"/>
      <c r="AO27" s="52"/>
      <c r="AP27" s="55"/>
      <c r="AS27" s="52"/>
      <c r="AT27" s="52"/>
      <c r="AU27" s="55"/>
      <c r="AW27" s="52"/>
      <c r="AX27" s="52"/>
      <c r="AY27" s="55"/>
      <c r="AZ27" s="40"/>
      <c r="BA27" s="52"/>
      <c r="BB27" s="52"/>
      <c r="BC27" s="55"/>
      <c r="BE27" s="52"/>
      <c r="BF27" s="52"/>
      <c r="BG27" s="55"/>
      <c r="BI27" s="52"/>
      <c r="BJ27" s="52"/>
      <c r="BK27" s="55"/>
      <c r="BN27" s="52"/>
      <c r="BO27" s="52"/>
      <c r="BP27" s="55"/>
      <c r="BR27" s="52"/>
      <c r="BS27" s="52"/>
      <c r="BT27" s="55"/>
      <c r="BV27" s="52"/>
      <c r="BW27" s="52"/>
      <c r="BX27" s="55"/>
      <c r="BZ27" s="52"/>
      <c r="CA27" s="52"/>
      <c r="CB27" s="55"/>
      <c r="CD27" s="52"/>
      <c r="CE27" s="52"/>
      <c r="CF27" s="55"/>
    </row>
    <row r="28" spans="1:85" x14ac:dyDescent="0.25">
      <c r="A28" s="26"/>
      <c r="B28" s="22"/>
      <c r="C28" s="53"/>
      <c r="D28" s="53"/>
      <c r="E28" s="56"/>
      <c r="G28" s="53"/>
      <c r="H28" s="53"/>
      <c r="I28" s="56"/>
      <c r="K28" s="53"/>
      <c r="L28" s="53"/>
      <c r="M28" s="56"/>
      <c r="O28" s="53"/>
      <c r="P28" s="53"/>
      <c r="Q28" s="56"/>
      <c r="S28" s="53"/>
      <c r="T28" s="53"/>
      <c r="U28" s="56"/>
      <c r="X28" s="53"/>
      <c r="Y28" s="53"/>
      <c r="Z28" s="56"/>
      <c r="AB28" s="53"/>
      <c r="AC28" s="53"/>
      <c r="AD28" s="56"/>
      <c r="AF28" s="53"/>
      <c r="AG28" s="53"/>
      <c r="AH28" s="56"/>
      <c r="AJ28" s="53"/>
      <c r="AK28" s="53"/>
      <c r="AL28" s="56"/>
      <c r="AN28" s="53"/>
      <c r="AO28" s="53"/>
      <c r="AP28" s="56"/>
      <c r="AS28" s="53"/>
      <c r="AT28" s="53"/>
      <c r="AU28" s="56"/>
      <c r="AW28" s="53"/>
      <c r="AX28" s="53"/>
      <c r="AY28" s="56"/>
      <c r="AZ28" s="40"/>
      <c r="BA28" s="53"/>
      <c r="BB28" s="53"/>
      <c r="BC28" s="56"/>
      <c r="BE28" s="53"/>
      <c r="BF28" s="53"/>
      <c r="BG28" s="56"/>
      <c r="BI28" s="53"/>
      <c r="BJ28" s="53"/>
      <c r="BK28" s="56"/>
      <c r="BN28" s="53"/>
      <c r="BO28" s="53"/>
      <c r="BP28" s="56"/>
      <c r="BR28" s="53"/>
      <c r="BS28" s="53"/>
      <c r="BT28" s="56"/>
      <c r="BV28" s="53"/>
      <c r="BW28" s="53"/>
      <c r="BX28" s="56"/>
      <c r="BZ28" s="53"/>
      <c r="CA28" s="53"/>
      <c r="CB28" s="56"/>
      <c r="CD28" s="53"/>
      <c r="CE28" s="53"/>
      <c r="CF28" s="56"/>
    </row>
    <row r="29" spans="1:85" x14ac:dyDescent="0.25">
      <c r="A29" s="26"/>
      <c r="B29" s="48"/>
      <c r="C29" s="54"/>
      <c r="D29" s="54"/>
      <c r="E29" s="57"/>
      <c r="G29" s="54"/>
      <c r="H29" s="54"/>
      <c r="I29" s="57"/>
      <c r="K29" s="54"/>
      <c r="L29" s="54"/>
      <c r="M29" s="57"/>
      <c r="O29" s="54"/>
      <c r="P29" s="54"/>
      <c r="Q29" s="57"/>
      <c r="S29" s="54"/>
      <c r="T29" s="54"/>
      <c r="U29" s="57"/>
      <c r="X29" s="54"/>
      <c r="Y29" s="54"/>
      <c r="Z29" s="57"/>
      <c r="AB29" s="54"/>
      <c r="AC29" s="54"/>
      <c r="AD29" s="57"/>
      <c r="AF29" s="54"/>
      <c r="AG29" s="54"/>
      <c r="AH29" s="57"/>
      <c r="AJ29" s="54"/>
      <c r="AK29" s="54"/>
      <c r="AL29" s="57"/>
      <c r="AN29" s="54"/>
      <c r="AO29" s="54"/>
      <c r="AP29" s="57"/>
      <c r="AS29" s="54"/>
      <c r="AT29" s="54"/>
      <c r="AU29" s="57"/>
      <c r="AW29" s="54"/>
      <c r="AX29" s="54"/>
      <c r="AY29" s="57"/>
      <c r="AZ29" s="40"/>
      <c r="BA29" s="54"/>
      <c r="BB29" s="54"/>
      <c r="BC29" s="57"/>
      <c r="BE29" s="54"/>
      <c r="BF29" s="54"/>
      <c r="BG29" s="57"/>
      <c r="BI29" s="54"/>
      <c r="BJ29" s="54"/>
      <c r="BK29" s="57"/>
      <c r="BN29" s="54"/>
      <c r="BO29" s="54"/>
      <c r="BP29" s="57"/>
      <c r="BR29" s="54"/>
      <c r="BS29" s="54"/>
      <c r="BT29" s="57"/>
      <c r="BV29" s="54"/>
      <c r="BW29" s="54"/>
      <c r="BX29" s="57"/>
      <c r="BZ29" s="54"/>
      <c r="CA29" s="54"/>
      <c r="CB29" s="57"/>
      <c r="CD29" s="54"/>
      <c r="CE29" s="54"/>
      <c r="CF29" s="57"/>
    </row>
    <row r="30" spans="1:85" x14ac:dyDescent="0.25">
      <c r="A30" s="26"/>
      <c r="B30" s="22"/>
      <c r="C30" s="53"/>
      <c r="D30" s="53"/>
      <c r="E30" s="56"/>
      <c r="G30" s="53"/>
      <c r="H30" s="53"/>
      <c r="I30" s="56"/>
      <c r="K30" s="53"/>
      <c r="L30" s="53"/>
      <c r="M30" s="56"/>
      <c r="O30" s="53"/>
      <c r="P30" s="53"/>
      <c r="Q30" s="56"/>
      <c r="S30" s="53"/>
      <c r="T30" s="53"/>
      <c r="U30" s="56"/>
      <c r="X30" s="53"/>
      <c r="Y30" s="53"/>
      <c r="Z30" s="56"/>
      <c r="AB30" s="53"/>
      <c r="AC30" s="53"/>
      <c r="AD30" s="56"/>
      <c r="AF30" s="53"/>
      <c r="AG30" s="53"/>
      <c r="AH30" s="56"/>
      <c r="AJ30" s="53"/>
      <c r="AK30" s="53"/>
      <c r="AL30" s="56"/>
      <c r="AN30" s="53"/>
      <c r="AO30" s="53"/>
      <c r="AP30" s="56"/>
      <c r="AS30" s="53"/>
      <c r="AT30" s="53"/>
      <c r="AU30" s="56"/>
      <c r="AW30" s="53"/>
      <c r="AX30" s="53"/>
      <c r="AY30" s="56"/>
      <c r="AZ30" s="40"/>
      <c r="BA30" s="53"/>
      <c r="BB30" s="53"/>
      <c r="BC30" s="56"/>
      <c r="BE30" s="53"/>
      <c r="BF30" s="53"/>
      <c r="BG30" s="56"/>
      <c r="BI30" s="53"/>
      <c r="BJ30" s="53"/>
      <c r="BK30" s="56"/>
      <c r="BN30" s="53"/>
      <c r="BO30" s="53"/>
      <c r="BP30" s="56"/>
      <c r="BR30" s="53"/>
      <c r="BS30" s="53"/>
      <c r="BT30" s="56"/>
      <c r="BV30" s="53"/>
      <c r="BW30" s="53"/>
      <c r="BX30" s="56"/>
      <c r="BZ30" s="53"/>
      <c r="CA30" s="53"/>
      <c r="CB30" s="56"/>
      <c r="CD30" s="53"/>
      <c r="CE30" s="53"/>
      <c r="CF30" s="56"/>
    </row>
    <row r="31" spans="1:85" x14ac:dyDescent="0.25">
      <c r="A31" s="26"/>
      <c r="B31" s="22"/>
      <c r="C31" s="53"/>
      <c r="D31" s="53"/>
      <c r="E31" s="56"/>
      <c r="G31" s="53"/>
      <c r="H31" s="53"/>
      <c r="I31" s="56"/>
      <c r="K31" s="53"/>
      <c r="L31" s="53"/>
      <c r="M31" s="56"/>
      <c r="O31" s="53"/>
      <c r="P31" s="53"/>
      <c r="Q31" s="56"/>
      <c r="S31" s="53"/>
      <c r="T31" s="53"/>
      <c r="U31" s="56"/>
      <c r="X31" s="53"/>
      <c r="Y31" s="53"/>
      <c r="Z31" s="56"/>
      <c r="AB31" s="53"/>
      <c r="AC31" s="53"/>
      <c r="AD31" s="56"/>
      <c r="AF31" s="53"/>
      <c r="AG31" s="53"/>
      <c r="AH31" s="56"/>
      <c r="AJ31" s="53"/>
      <c r="AK31" s="53"/>
      <c r="AL31" s="56"/>
      <c r="AN31" s="53"/>
      <c r="AO31" s="53"/>
      <c r="AP31" s="56"/>
      <c r="AS31" s="53"/>
      <c r="AT31" s="53"/>
      <c r="AU31" s="56"/>
      <c r="AW31" s="53"/>
      <c r="AX31" s="53"/>
      <c r="AY31" s="56"/>
      <c r="AZ31" s="40"/>
      <c r="BA31" s="53"/>
      <c r="BB31" s="53"/>
      <c r="BC31" s="56"/>
      <c r="BE31" s="53"/>
      <c r="BF31" s="53"/>
      <c r="BG31" s="56"/>
      <c r="BI31" s="53"/>
      <c r="BJ31" s="53"/>
      <c r="BK31" s="56"/>
      <c r="BN31" s="53"/>
      <c r="BO31" s="53"/>
      <c r="BP31" s="56"/>
      <c r="BR31" s="53"/>
      <c r="BS31" s="53"/>
      <c r="BT31" s="56"/>
      <c r="BV31" s="53"/>
      <c r="BW31" s="53"/>
      <c r="BX31" s="56"/>
      <c r="BZ31" s="53"/>
      <c r="CA31" s="53"/>
      <c r="CB31" s="56"/>
      <c r="CD31" s="53"/>
      <c r="CE31" s="53"/>
      <c r="CF31" s="56"/>
    </row>
    <row r="32" spans="1:85" x14ac:dyDescent="0.25">
      <c r="A32" s="26"/>
      <c r="B32" s="22"/>
      <c r="C32" s="53"/>
      <c r="D32" s="53"/>
      <c r="E32" s="56"/>
      <c r="G32" s="53"/>
      <c r="H32" s="53"/>
      <c r="I32" s="56"/>
      <c r="K32" s="53"/>
      <c r="L32" s="53"/>
      <c r="M32" s="56"/>
      <c r="O32" s="53"/>
      <c r="P32" s="53"/>
      <c r="Q32" s="56"/>
      <c r="S32" s="53"/>
      <c r="T32" s="53"/>
      <c r="U32" s="56"/>
      <c r="X32" s="53"/>
      <c r="Y32" s="53"/>
      <c r="Z32" s="56"/>
      <c r="AB32" s="53"/>
      <c r="AC32" s="53"/>
      <c r="AD32" s="56"/>
      <c r="AF32" s="53"/>
      <c r="AG32" s="53"/>
      <c r="AH32" s="56"/>
      <c r="AJ32" s="53"/>
      <c r="AK32" s="53"/>
      <c r="AL32" s="56"/>
      <c r="AN32" s="53"/>
      <c r="AO32" s="53"/>
      <c r="AP32" s="56"/>
      <c r="AS32" s="53"/>
      <c r="AT32" s="53"/>
      <c r="AU32" s="56"/>
      <c r="AW32" s="53"/>
      <c r="AX32" s="53"/>
      <c r="AY32" s="56"/>
      <c r="AZ32" s="40"/>
      <c r="BA32" s="53"/>
      <c r="BB32" s="53"/>
      <c r="BC32" s="56"/>
      <c r="BE32" s="53"/>
      <c r="BF32" s="53"/>
      <c r="BG32" s="56"/>
      <c r="BI32" s="53"/>
      <c r="BJ32" s="53"/>
      <c r="BK32" s="56"/>
      <c r="BN32" s="53"/>
      <c r="BO32" s="53"/>
      <c r="BP32" s="56"/>
      <c r="BR32" s="53"/>
      <c r="BS32" s="53"/>
      <c r="BT32" s="56"/>
      <c r="BV32" s="53"/>
      <c r="BW32" s="53"/>
      <c r="BX32" s="56"/>
      <c r="BZ32" s="53"/>
      <c r="CA32" s="53"/>
      <c r="CB32" s="56"/>
      <c r="CD32" s="53"/>
      <c r="CE32" s="53"/>
      <c r="CF32" s="56"/>
    </row>
    <row r="33" spans="1:84" x14ac:dyDescent="0.25">
      <c r="A33" s="26"/>
      <c r="B33" s="22"/>
      <c r="C33" s="53"/>
      <c r="D33" s="53"/>
      <c r="E33" s="56"/>
      <c r="G33" s="53"/>
      <c r="H33" s="53"/>
      <c r="I33" s="56"/>
      <c r="K33" s="53"/>
      <c r="L33" s="53"/>
      <c r="M33" s="56"/>
      <c r="O33" s="53"/>
      <c r="P33" s="53"/>
      <c r="Q33" s="56"/>
      <c r="S33" s="53"/>
      <c r="T33" s="53"/>
      <c r="U33" s="56"/>
      <c r="X33" s="53"/>
      <c r="Y33" s="53"/>
      <c r="Z33" s="56"/>
      <c r="AB33" s="53"/>
      <c r="AC33" s="53"/>
      <c r="AD33" s="56"/>
      <c r="AF33" s="53"/>
      <c r="AG33" s="53"/>
      <c r="AH33" s="56"/>
      <c r="AJ33" s="53"/>
      <c r="AK33" s="53"/>
      <c r="AL33" s="56"/>
      <c r="AN33" s="53"/>
      <c r="AO33" s="53"/>
      <c r="AP33" s="56"/>
      <c r="AS33" s="53"/>
      <c r="AT33" s="53"/>
      <c r="AU33" s="56"/>
      <c r="AW33" s="53"/>
      <c r="AX33" s="53"/>
      <c r="AY33" s="56"/>
      <c r="AZ33" s="40"/>
      <c r="BA33" s="53"/>
      <c r="BB33" s="53"/>
      <c r="BC33" s="56"/>
      <c r="BE33" s="53"/>
      <c r="BF33" s="53"/>
      <c r="BG33" s="56"/>
      <c r="BI33" s="53"/>
      <c r="BJ33" s="53"/>
      <c r="BK33" s="56"/>
      <c r="BN33" s="53"/>
      <c r="BO33" s="53"/>
      <c r="BP33" s="56"/>
      <c r="BR33" s="53"/>
      <c r="BS33" s="53"/>
      <c r="BT33" s="56"/>
      <c r="BV33" s="53"/>
      <c r="BW33" s="53"/>
      <c r="BX33" s="56"/>
      <c r="BZ33" s="53"/>
      <c r="CA33" s="53"/>
      <c r="CB33" s="56"/>
      <c r="CD33" s="53"/>
      <c r="CE33" s="53"/>
      <c r="CF33" s="56"/>
    </row>
    <row r="34" spans="1:84" x14ac:dyDescent="0.25">
      <c r="A34" s="26"/>
      <c r="B34" s="22"/>
      <c r="C34" s="53"/>
      <c r="D34" s="53"/>
      <c r="E34" s="56"/>
      <c r="G34" s="53"/>
      <c r="H34" s="53"/>
      <c r="I34" s="56"/>
      <c r="K34" s="53"/>
      <c r="L34" s="53"/>
      <c r="M34" s="56"/>
      <c r="O34" s="53"/>
      <c r="P34" s="53"/>
      <c r="Q34" s="56"/>
      <c r="S34" s="53"/>
      <c r="T34" s="53"/>
      <c r="U34" s="56"/>
      <c r="X34" s="53"/>
      <c r="Y34" s="53"/>
      <c r="Z34" s="56"/>
      <c r="AB34" s="53"/>
      <c r="AC34" s="53"/>
      <c r="AD34" s="56"/>
      <c r="AF34" s="53"/>
      <c r="AG34" s="53"/>
      <c r="AH34" s="56"/>
      <c r="AJ34" s="53"/>
      <c r="AK34" s="53"/>
      <c r="AL34" s="56"/>
      <c r="AN34" s="53"/>
      <c r="AO34" s="53"/>
      <c r="AP34" s="56"/>
      <c r="AS34" s="53"/>
      <c r="AT34" s="53"/>
      <c r="AU34" s="56"/>
      <c r="AW34" s="53"/>
      <c r="AX34" s="53"/>
      <c r="AY34" s="56"/>
      <c r="AZ34" s="40"/>
      <c r="BA34" s="53"/>
      <c r="BB34" s="53"/>
      <c r="BC34" s="56"/>
      <c r="BE34" s="53"/>
      <c r="BF34" s="53"/>
      <c r="BG34" s="56"/>
      <c r="BI34" s="53"/>
      <c r="BJ34" s="53"/>
      <c r="BK34" s="56"/>
      <c r="BN34" s="53"/>
      <c r="BO34" s="53"/>
      <c r="BP34" s="56"/>
      <c r="BR34" s="53"/>
      <c r="BS34" s="53"/>
      <c r="BT34" s="56"/>
      <c r="BV34" s="53"/>
      <c r="BW34" s="53"/>
      <c r="BX34" s="56"/>
      <c r="BZ34" s="53"/>
      <c r="CA34" s="53"/>
      <c r="CB34" s="56"/>
      <c r="CD34" s="53"/>
      <c r="CE34" s="53"/>
      <c r="CF34" s="56"/>
    </row>
    <row r="35" spans="1:84" x14ac:dyDescent="0.25">
      <c r="A35" s="26"/>
      <c r="B35" s="22"/>
      <c r="C35" s="53"/>
      <c r="D35" s="53"/>
      <c r="E35" s="56"/>
      <c r="G35" s="53"/>
      <c r="H35" s="53"/>
      <c r="I35" s="56"/>
      <c r="K35" s="53"/>
      <c r="L35" s="53"/>
      <c r="M35" s="56"/>
      <c r="O35" s="53"/>
      <c r="P35" s="53"/>
      <c r="Q35" s="56"/>
      <c r="S35" s="53"/>
      <c r="T35" s="53"/>
      <c r="U35" s="56"/>
      <c r="X35" s="53"/>
      <c r="Y35" s="53"/>
      <c r="Z35" s="56"/>
      <c r="AB35" s="53"/>
      <c r="AC35" s="53"/>
      <c r="AD35" s="56"/>
      <c r="AF35" s="53"/>
      <c r="AG35" s="53"/>
      <c r="AH35" s="56"/>
      <c r="AJ35" s="53"/>
      <c r="AK35" s="53"/>
      <c r="AL35" s="56"/>
      <c r="AN35" s="53"/>
      <c r="AO35" s="53"/>
      <c r="AP35" s="56"/>
      <c r="AS35" s="53"/>
      <c r="AT35" s="53"/>
      <c r="AU35" s="56"/>
      <c r="AW35" s="53"/>
      <c r="AX35" s="53"/>
      <c r="AY35" s="56"/>
      <c r="AZ35" s="40"/>
      <c r="BA35" s="53"/>
      <c r="BB35" s="53"/>
      <c r="BC35" s="56"/>
      <c r="BE35" s="53"/>
      <c r="BF35" s="53"/>
      <c r="BG35" s="56"/>
      <c r="BI35" s="53"/>
      <c r="BJ35" s="53"/>
      <c r="BK35" s="56"/>
      <c r="BN35" s="53"/>
      <c r="BO35" s="53"/>
      <c r="BP35" s="56"/>
      <c r="BR35" s="53"/>
      <c r="BS35" s="53"/>
      <c r="BT35" s="56"/>
      <c r="BV35" s="53"/>
      <c r="BW35" s="53"/>
      <c r="BX35" s="56"/>
      <c r="BZ35" s="53"/>
      <c r="CA35" s="53"/>
      <c r="CB35" s="56"/>
      <c r="CD35" s="53"/>
      <c r="CE35" s="53"/>
      <c r="CF35" s="56"/>
    </row>
    <row r="36" spans="1:84" x14ac:dyDescent="0.25">
      <c r="A36" s="26"/>
      <c r="B36" s="22"/>
      <c r="C36" s="53"/>
      <c r="D36" s="53"/>
      <c r="E36" s="56"/>
      <c r="G36" s="53"/>
      <c r="H36" s="53"/>
      <c r="I36" s="56"/>
      <c r="K36" s="53"/>
      <c r="L36" s="53"/>
      <c r="M36" s="56"/>
      <c r="O36" s="53"/>
      <c r="P36" s="53"/>
      <c r="Q36" s="56"/>
      <c r="S36" s="53"/>
      <c r="T36" s="53"/>
      <c r="U36" s="56"/>
      <c r="X36" s="53"/>
      <c r="Y36" s="53"/>
      <c r="Z36" s="56"/>
      <c r="AB36" s="53"/>
      <c r="AC36" s="53"/>
      <c r="AD36" s="56"/>
      <c r="AF36" s="53"/>
      <c r="AG36" s="53"/>
      <c r="AH36" s="56"/>
      <c r="AJ36" s="53"/>
      <c r="AK36" s="53"/>
      <c r="AL36" s="56"/>
      <c r="AN36" s="53"/>
      <c r="AO36" s="53"/>
      <c r="AP36" s="56"/>
      <c r="AS36" s="53"/>
      <c r="AT36" s="53"/>
      <c r="AU36" s="56"/>
      <c r="AW36" s="53"/>
      <c r="AX36" s="53"/>
      <c r="AY36" s="56"/>
      <c r="AZ36" s="40"/>
      <c r="BA36" s="53"/>
      <c r="BB36" s="53"/>
      <c r="BC36" s="56"/>
      <c r="BE36" s="53"/>
      <c r="BF36" s="53"/>
      <c r="BG36" s="56"/>
      <c r="BI36" s="53"/>
      <c r="BJ36" s="53"/>
      <c r="BK36" s="56"/>
      <c r="BN36" s="53"/>
      <c r="BO36" s="53"/>
      <c r="BP36" s="56"/>
      <c r="BR36" s="53"/>
      <c r="BS36" s="53"/>
      <c r="BT36" s="56"/>
      <c r="BV36" s="53"/>
      <c r="BW36" s="53"/>
      <c r="BX36" s="56"/>
      <c r="BZ36" s="53"/>
      <c r="CA36" s="53"/>
      <c r="CB36" s="56"/>
      <c r="CD36" s="53"/>
      <c r="CE36" s="53"/>
      <c r="CF36" s="56"/>
    </row>
    <row r="37" spans="1:84" x14ac:dyDescent="0.25">
      <c r="A37" s="26"/>
      <c r="B37" s="22"/>
      <c r="C37" s="53"/>
      <c r="D37" s="53"/>
      <c r="E37" s="56"/>
      <c r="G37" s="53"/>
      <c r="H37" s="53"/>
      <c r="I37" s="56"/>
      <c r="K37" s="53"/>
      <c r="L37" s="53"/>
      <c r="M37" s="56"/>
      <c r="O37" s="53"/>
      <c r="P37" s="53"/>
      <c r="Q37" s="56"/>
      <c r="S37" s="53"/>
      <c r="T37" s="53"/>
      <c r="U37" s="56"/>
      <c r="X37" s="53"/>
      <c r="Y37" s="53"/>
      <c r="Z37" s="56"/>
      <c r="AB37" s="53"/>
      <c r="AC37" s="53"/>
      <c r="AD37" s="56"/>
      <c r="AF37" s="53"/>
      <c r="AG37" s="53"/>
      <c r="AH37" s="56"/>
      <c r="AJ37" s="53"/>
      <c r="AK37" s="53"/>
      <c r="AL37" s="56"/>
      <c r="AN37" s="53"/>
      <c r="AO37" s="53"/>
      <c r="AP37" s="56"/>
      <c r="AS37" s="53"/>
      <c r="AT37" s="53"/>
      <c r="AU37" s="56"/>
      <c r="AW37" s="53"/>
      <c r="AX37" s="53"/>
      <c r="AY37" s="56"/>
      <c r="AZ37" s="40"/>
      <c r="BA37" s="53"/>
      <c r="BB37" s="53"/>
      <c r="BC37" s="56"/>
      <c r="BE37" s="53"/>
      <c r="BF37" s="53"/>
      <c r="BG37" s="56"/>
      <c r="BI37" s="53"/>
      <c r="BJ37" s="53"/>
      <c r="BK37" s="56"/>
      <c r="BN37" s="53"/>
      <c r="BO37" s="53"/>
      <c r="BP37" s="56"/>
      <c r="BR37" s="53"/>
      <c r="BS37" s="53"/>
      <c r="BT37" s="56"/>
      <c r="BV37" s="53"/>
      <c r="BW37" s="53"/>
      <c r="BX37" s="56"/>
      <c r="BZ37" s="53"/>
      <c r="CA37" s="53"/>
      <c r="CB37" s="56"/>
      <c r="CD37" s="53"/>
      <c r="CE37" s="53"/>
      <c r="CF37" s="56"/>
    </row>
    <row r="38" spans="1:84" x14ac:dyDescent="0.25">
      <c r="A38" s="26"/>
      <c r="B38" s="22"/>
      <c r="C38" s="53"/>
      <c r="D38" s="53"/>
      <c r="E38" s="56"/>
      <c r="G38" s="53"/>
      <c r="H38" s="53"/>
      <c r="I38" s="56"/>
      <c r="K38" s="53"/>
      <c r="L38" s="53"/>
      <c r="M38" s="56"/>
      <c r="O38" s="53"/>
      <c r="P38" s="53"/>
      <c r="Q38" s="56"/>
      <c r="S38" s="53"/>
      <c r="T38" s="53"/>
      <c r="U38" s="56"/>
      <c r="X38" s="53"/>
      <c r="Y38" s="53"/>
      <c r="Z38" s="56"/>
      <c r="AB38" s="53"/>
      <c r="AC38" s="53"/>
      <c r="AD38" s="56"/>
      <c r="AF38" s="53"/>
      <c r="AG38" s="53"/>
      <c r="AH38" s="56"/>
      <c r="AJ38" s="53"/>
      <c r="AK38" s="53"/>
      <c r="AL38" s="56"/>
      <c r="AN38" s="53"/>
      <c r="AO38" s="53"/>
      <c r="AP38" s="56"/>
      <c r="AS38" s="53"/>
      <c r="AT38" s="53"/>
      <c r="AU38" s="56"/>
      <c r="AW38" s="53"/>
      <c r="AX38" s="53"/>
      <c r="AY38" s="56"/>
      <c r="AZ38" s="40"/>
      <c r="BA38" s="53"/>
      <c r="BB38" s="53"/>
      <c r="BC38" s="56"/>
      <c r="BE38" s="53"/>
      <c r="BF38" s="53"/>
      <c r="BG38" s="56"/>
      <c r="BI38" s="53"/>
      <c r="BJ38" s="53"/>
      <c r="BK38" s="56"/>
      <c r="BN38" s="53"/>
      <c r="BO38" s="53"/>
      <c r="BP38" s="56"/>
      <c r="BR38" s="53"/>
      <c r="BS38" s="53"/>
      <c r="BT38" s="56"/>
      <c r="BV38" s="53"/>
      <c r="BW38" s="53"/>
      <c r="BX38" s="56"/>
      <c r="BZ38" s="53"/>
      <c r="CA38" s="53"/>
      <c r="CB38" s="56"/>
      <c r="CD38" s="53"/>
      <c r="CE38" s="53"/>
      <c r="CF38" s="56"/>
    </row>
    <row r="39" spans="1:84" ht="15.75" thickBot="1" x14ac:dyDescent="0.3">
      <c r="A39" s="27"/>
      <c r="B39" s="49"/>
      <c r="C39" s="54"/>
      <c r="D39" s="54"/>
      <c r="E39" s="57"/>
      <c r="G39" s="54"/>
      <c r="H39" s="54"/>
      <c r="I39" s="57"/>
      <c r="K39" s="54"/>
      <c r="L39" s="54"/>
      <c r="M39" s="57"/>
      <c r="O39" s="54"/>
      <c r="P39" s="54"/>
      <c r="Q39" s="57"/>
      <c r="S39" s="54"/>
      <c r="T39" s="54"/>
      <c r="U39" s="57"/>
      <c r="X39" s="54"/>
      <c r="Y39" s="54"/>
      <c r="Z39" s="57"/>
      <c r="AB39" s="54"/>
      <c r="AC39" s="54"/>
      <c r="AD39" s="57"/>
      <c r="AF39" s="54"/>
      <c r="AG39" s="54"/>
      <c r="AH39" s="57"/>
      <c r="AJ39" s="54"/>
      <c r="AK39" s="54"/>
      <c r="AL39" s="57"/>
      <c r="AN39" s="54"/>
      <c r="AO39" s="54"/>
      <c r="AP39" s="57"/>
      <c r="AS39" s="54"/>
      <c r="AT39" s="54"/>
      <c r="AU39" s="57"/>
      <c r="AW39" s="54"/>
      <c r="AX39" s="54"/>
      <c r="AY39" s="57"/>
      <c r="BA39" s="54"/>
      <c r="BB39" s="54"/>
      <c r="BC39" s="57"/>
      <c r="BE39" s="54"/>
      <c r="BF39" s="54"/>
      <c r="BG39" s="57"/>
      <c r="BI39" s="54"/>
      <c r="BJ39" s="54"/>
      <c r="BK39" s="57"/>
      <c r="BN39" s="54"/>
      <c r="BO39" s="54"/>
      <c r="BP39" s="57"/>
      <c r="BR39" s="54"/>
      <c r="BS39" s="54"/>
      <c r="BT39" s="57"/>
      <c r="BV39" s="54"/>
      <c r="BW39" s="54"/>
      <c r="BX39" s="57"/>
      <c r="BZ39" s="54"/>
      <c r="CA39" s="54"/>
      <c r="CB39" s="57"/>
      <c r="CD39" s="54"/>
      <c r="CE39" s="54"/>
      <c r="CF39" s="57"/>
    </row>
  </sheetData>
  <mergeCells count="29">
    <mergeCell ref="A2:A4"/>
    <mergeCell ref="B2:V2"/>
    <mergeCell ref="A1:CG1"/>
    <mergeCell ref="BM2:CG2"/>
    <mergeCell ref="V3:V4"/>
    <mergeCell ref="AQ3:AQ4"/>
    <mergeCell ref="W2:AQ2"/>
    <mergeCell ref="AM3:AP3"/>
    <mergeCell ref="AR3:AU3"/>
    <mergeCell ref="AV3:AY3"/>
    <mergeCell ref="W3:Z3"/>
    <mergeCell ref="AA3:AD3"/>
    <mergeCell ref="AE3:AH3"/>
    <mergeCell ref="AI3:AL3"/>
    <mergeCell ref="AZ3:BC3"/>
    <mergeCell ref="BD3:BG3"/>
    <mergeCell ref="B23:J23"/>
    <mergeCell ref="F3:I3"/>
    <mergeCell ref="J3:M3"/>
    <mergeCell ref="N3:Q3"/>
    <mergeCell ref="R3:U3"/>
    <mergeCell ref="BL3:BL4"/>
    <mergeCell ref="BY3:CB3"/>
    <mergeCell ref="CG3:CG4"/>
    <mergeCell ref="AR2:BL2"/>
    <mergeCell ref="BH3:BK3"/>
    <mergeCell ref="BM3:BP3"/>
    <mergeCell ref="BQ3:BT3"/>
    <mergeCell ref="BU3:BX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EC67-7777-4256-8BC9-7339B5345B43}">
  <dimension ref="A1:AL63"/>
  <sheetViews>
    <sheetView topLeftCell="A6" zoomScaleNormal="100" workbookViewId="0">
      <pane xSplit="1" topLeftCell="B1" activePane="topRight" state="frozen"/>
      <selection pane="topRight" activeCell="A22" sqref="A22:XFD22"/>
    </sheetView>
  </sheetViews>
  <sheetFormatPr defaultRowHeight="15" x14ac:dyDescent="0.25"/>
  <cols>
    <col min="2" max="2" width="19.5703125" style="4" bestFit="1" customWidth="1"/>
    <col min="3" max="3" width="9.28515625" style="4" bestFit="1" customWidth="1"/>
    <col min="4" max="4" width="8.140625" style="4" bestFit="1" customWidth="1"/>
    <col min="5" max="5" width="9.85546875" style="4" bestFit="1" customWidth="1"/>
    <col min="6" max="6" width="7" bestFit="1" customWidth="1"/>
    <col min="7" max="7" width="9.28515625" bestFit="1" customWidth="1"/>
    <col min="8" max="8" width="8.140625" bestFit="1" customWidth="1"/>
    <col min="9" max="9" width="9.85546875" bestFit="1" customWidth="1"/>
    <col min="10" max="10" width="7" bestFit="1" customWidth="1"/>
    <col min="11" max="11" width="9.28515625" bestFit="1" customWidth="1"/>
    <col min="12" max="12" width="8.140625" bestFit="1" customWidth="1"/>
    <col min="13" max="13" width="9.85546875" bestFit="1" customWidth="1"/>
  </cols>
  <sheetData>
    <row r="1" spans="1:25" x14ac:dyDescent="0.25">
      <c r="A1" s="15"/>
      <c r="B1" s="9" t="s">
        <v>13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58" customFormat="1" ht="15.75" x14ac:dyDescent="0.25">
      <c r="A2" s="162" t="s">
        <v>62</v>
      </c>
      <c r="B2" s="124" t="s">
        <v>9</v>
      </c>
      <c r="C2" s="124" t="s">
        <v>10</v>
      </c>
      <c r="D2" s="124" t="s">
        <v>11</v>
      </c>
      <c r="E2" s="124" t="s">
        <v>12</v>
      </c>
      <c r="F2" s="124" t="s">
        <v>9</v>
      </c>
      <c r="G2" s="124" t="s">
        <v>10</v>
      </c>
      <c r="H2" s="124" t="s">
        <v>11</v>
      </c>
      <c r="I2" s="124" t="s">
        <v>12</v>
      </c>
      <c r="J2" s="124" t="s">
        <v>9</v>
      </c>
      <c r="K2" s="124" t="s">
        <v>10</v>
      </c>
      <c r="L2" s="124" t="s">
        <v>11</v>
      </c>
      <c r="M2" s="124" t="s">
        <v>12</v>
      </c>
      <c r="N2" s="124" t="s">
        <v>9</v>
      </c>
      <c r="O2" s="124" t="s">
        <v>10</v>
      </c>
      <c r="P2" s="124" t="s">
        <v>11</v>
      </c>
      <c r="Q2" s="124" t="s">
        <v>12</v>
      </c>
      <c r="R2" s="124" t="s">
        <v>9</v>
      </c>
      <c r="S2" s="124" t="s">
        <v>10</v>
      </c>
      <c r="T2" s="124" t="s">
        <v>11</v>
      </c>
      <c r="U2" s="124" t="s">
        <v>12</v>
      </c>
      <c r="V2" s="124" t="s">
        <v>9</v>
      </c>
      <c r="W2" s="124" t="s">
        <v>10</v>
      </c>
      <c r="X2" s="124" t="s">
        <v>11</v>
      </c>
      <c r="Y2" s="124" t="s">
        <v>12</v>
      </c>
    </row>
    <row r="3" spans="1:25" s="64" customFormat="1" ht="15.75" x14ac:dyDescent="0.25">
      <c r="A3" s="163"/>
      <c r="B3" s="136" t="s">
        <v>14</v>
      </c>
      <c r="C3" s="136"/>
      <c r="D3" s="136"/>
      <c r="E3" s="136"/>
      <c r="F3" s="136" t="s">
        <v>16</v>
      </c>
      <c r="G3" s="136"/>
      <c r="H3" s="136"/>
      <c r="I3" s="136"/>
      <c r="J3" s="136" t="s">
        <v>15</v>
      </c>
      <c r="K3" s="136"/>
      <c r="L3" s="136"/>
      <c r="M3" s="136"/>
      <c r="N3" s="136" t="s">
        <v>17</v>
      </c>
      <c r="O3" s="136"/>
      <c r="P3" s="136"/>
      <c r="Q3" s="136"/>
      <c r="R3" s="136" t="s">
        <v>18</v>
      </c>
      <c r="S3" s="136"/>
      <c r="T3" s="136"/>
      <c r="U3" s="136"/>
      <c r="V3" s="136" t="s">
        <v>19</v>
      </c>
      <c r="W3" s="136"/>
      <c r="X3" s="136"/>
      <c r="Y3" s="136"/>
    </row>
    <row r="4" spans="1:25" ht="15.75" x14ac:dyDescent="0.25">
      <c r="A4" s="96">
        <v>2007</v>
      </c>
      <c r="B4" s="125">
        <v>-1.9804805517196655E-2</v>
      </c>
      <c r="C4" s="126">
        <v>-0.523537278175354</v>
      </c>
      <c r="D4" s="126">
        <v>-0.36320966482162476</v>
      </c>
      <c r="E4" s="126">
        <v>-1.0615367889404297</v>
      </c>
      <c r="F4" s="126">
        <v>-1.1980657577514648</v>
      </c>
      <c r="G4" s="126">
        <v>0.19330716133117676</v>
      </c>
      <c r="H4" s="126">
        <v>1.1742110252380371</v>
      </c>
      <c r="I4" s="126">
        <v>1.1071069240570068</v>
      </c>
      <c r="J4" s="126">
        <v>-0.30828028917312622</v>
      </c>
      <c r="K4" s="126">
        <v>1.2424353361129761</v>
      </c>
      <c r="L4" s="126">
        <v>2.3678035736083984</v>
      </c>
      <c r="M4" s="126">
        <v>0.91774177551269531</v>
      </c>
      <c r="N4" s="126">
        <v>-0.38859167695045471</v>
      </c>
      <c r="O4" s="126">
        <v>0.50432491302490201</v>
      </c>
      <c r="P4" s="126">
        <v>1.808868408203125</v>
      </c>
      <c r="Q4" s="126">
        <v>0.98605728149414063</v>
      </c>
      <c r="R4" s="126">
        <v>-0.69898992776870728</v>
      </c>
      <c r="S4" s="126">
        <v>0.36687648296356201</v>
      </c>
      <c r="T4" s="126">
        <v>1.5957239866256714</v>
      </c>
      <c r="U4" s="126">
        <v>0.40165552496910095</v>
      </c>
      <c r="V4" s="125">
        <v>-0.63050919771194458</v>
      </c>
      <c r="W4" s="126">
        <v>0.16680128872394562</v>
      </c>
      <c r="X4" s="126">
        <v>2.2312123775482178</v>
      </c>
      <c r="Y4" s="126">
        <v>0.20935553312301636</v>
      </c>
    </row>
    <row r="5" spans="1:25" ht="15.75" x14ac:dyDescent="0.25">
      <c r="A5" s="96">
        <v>2008</v>
      </c>
      <c r="B5" s="125">
        <v>-1.1261515319347382E-2</v>
      </c>
      <c r="C5" s="126">
        <v>-0.56319290399551392</v>
      </c>
      <c r="D5" s="126">
        <v>-0.33483549952507019</v>
      </c>
      <c r="E5" s="126">
        <v>-1.0181343555450439</v>
      </c>
      <c r="F5" s="126">
        <v>-1.0567915439605713</v>
      </c>
      <c r="G5" s="126">
        <v>0.10854236781597137</v>
      </c>
      <c r="H5" s="126">
        <v>1.34467613697052</v>
      </c>
      <c r="I5" s="126">
        <v>1.1256190538406372</v>
      </c>
      <c r="J5" s="126">
        <v>-0.2635863721370697</v>
      </c>
      <c r="K5" s="126">
        <v>1.0687037706375122</v>
      </c>
      <c r="L5" s="126">
        <v>2.4260289669036865</v>
      </c>
      <c r="M5" s="126">
        <v>0.88029199838638306</v>
      </c>
      <c r="N5" s="126">
        <v>-0.34698894619941711</v>
      </c>
      <c r="O5" s="126">
        <v>0.28681203722953796</v>
      </c>
      <c r="P5" s="126">
        <v>1.8687384128570557</v>
      </c>
      <c r="Q5" s="126">
        <v>0.78394567966461182</v>
      </c>
      <c r="R5" s="126">
        <v>-0.6737825870513916</v>
      </c>
      <c r="S5" s="126">
        <v>0.24728386104106903</v>
      </c>
      <c r="T5" s="126">
        <v>1.5948928594589233</v>
      </c>
      <c r="U5" s="126">
        <v>0.45791959762573242</v>
      </c>
      <c r="V5" s="125">
        <v>-0.63908606767654419</v>
      </c>
      <c r="W5" s="126">
        <v>-9.0506412088871002E-2</v>
      </c>
      <c r="X5" s="126">
        <v>2.2316179275512695</v>
      </c>
      <c r="Y5" s="126">
        <v>0.48272225260734558</v>
      </c>
    </row>
    <row r="6" spans="1:25" ht="15.75" x14ac:dyDescent="0.25">
      <c r="A6" s="96">
        <v>2009</v>
      </c>
      <c r="B6" s="125">
        <v>-9.9799945019185543E-4</v>
      </c>
      <c r="C6" s="126">
        <v>-0.50389474630355835</v>
      </c>
      <c r="D6" s="126">
        <v>-0.23422043025493622</v>
      </c>
      <c r="E6" s="126">
        <v>-0.73071449995040894</v>
      </c>
      <c r="F6" s="126">
        <v>-0.75115364789962769</v>
      </c>
      <c r="G6" s="126">
        <v>-4.1660919785499573E-2</v>
      </c>
      <c r="H6" s="126">
        <v>1.179591178894043</v>
      </c>
      <c r="I6" s="126">
        <v>1.3871266841888428</v>
      </c>
      <c r="J6" s="126">
        <v>-0.33120155334472656</v>
      </c>
      <c r="K6" s="126">
        <v>0.90877854824066162</v>
      </c>
      <c r="L6" s="126">
        <v>2.2670116424560547</v>
      </c>
      <c r="M6" s="126">
        <v>0.91371166706085205</v>
      </c>
      <c r="N6" s="126">
        <v>-0.31469470262527466</v>
      </c>
      <c r="O6" s="126">
        <v>0.26975882053375244</v>
      </c>
      <c r="P6" s="126">
        <v>1.775740385055542</v>
      </c>
      <c r="Q6" s="126">
        <v>1.0849860906600952</v>
      </c>
      <c r="R6" s="126">
        <v>-0.6119353175163269</v>
      </c>
      <c r="S6" s="126">
        <v>0.37388545274734497</v>
      </c>
      <c r="T6" s="126">
        <v>1.5588433742523193</v>
      </c>
      <c r="U6" s="126">
        <v>0.78254330158233643</v>
      </c>
      <c r="V6" s="125">
        <v>-0.88964062929153442</v>
      </c>
      <c r="W6" s="126">
        <v>-9.3942709267139435E-2</v>
      </c>
      <c r="X6" s="126">
        <v>2.2067203521728516</v>
      </c>
      <c r="Y6" s="126">
        <v>0.98429179191589355</v>
      </c>
    </row>
    <row r="7" spans="1:25" ht="15.75" x14ac:dyDescent="0.25">
      <c r="A7" s="96">
        <v>2010</v>
      </c>
      <c r="B7" s="125">
        <v>-3.7748463451862335E-2</v>
      </c>
      <c r="C7" s="126">
        <v>-0.49994820356369019</v>
      </c>
      <c r="D7" s="126">
        <v>-0.20896580815315247</v>
      </c>
      <c r="E7" s="126">
        <v>-0.65057063102722168</v>
      </c>
      <c r="F7" s="126">
        <v>-0.85391616821289063</v>
      </c>
      <c r="G7" s="126">
        <v>0.14335213601589203</v>
      </c>
      <c r="H7" s="126">
        <v>1.1694148778915405</v>
      </c>
      <c r="I7" s="126">
        <v>1.2775470018386841</v>
      </c>
      <c r="J7" s="126">
        <v>-0.26738402247428894</v>
      </c>
      <c r="K7" s="126">
        <v>1.0623400211334229</v>
      </c>
      <c r="L7" s="126">
        <v>2.2357573509216309</v>
      </c>
      <c r="M7" s="126">
        <v>0.8964809775352478</v>
      </c>
      <c r="N7" s="126">
        <v>-0.3808605968952179</v>
      </c>
      <c r="O7" s="126">
        <v>0.61124998331069946</v>
      </c>
      <c r="P7" s="126">
        <v>1.7835993766784668</v>
      </c>
      <c r="Q7" s="126">
        <v>1.1081427335739136</v>
      </c>
      <c r="R7" s="126">
        <v>-0.65604490041732788</v>
      </c>
      <c r="S7" s="126">
        <v>0.39389044046401978</v>
      </c>
      <c r="T7" s="126">
        <v>1.6188476085662842</v>
      </c>
      <c r="U7" s="126">
        <v>0.77304095029830933</v>
      </c>
      <c r="V7" s="125">
        <v>-0.80353450775146484</v>
      </c>
      <c r="W7" s="126">
        <v>5.7084448635578156E-2</v>
      </c>
      <c r="X7" s="126">
        <v>2.1713628768920898</v>
      </c>
      <c r="Y7" s="126">
        <v>0.85777854919433594</v>
      </c>
    </row>
    <row r="8" spans="1:25" ht="15.75" x14ac:dyDescent="0.25">
      <c r="A8" s="96">
        <v>2011</v>
      </c>
      <c r="B8" s="125">
        <v>-8.5310135036706924E-3</v>
      </c>
      <c r="C8" s="126">
        <v>-0.47487491369247437</v>
      </c>
      <c r="D8" s="126">
        <v>-0.10202718526124954</v>
      </c>
      <c r="E8" s="126">
        <v>-0.61033928394317627</v>
      </c>
      <c r="F8" s="126">
        <v>-0.77011418342590332</v>
      </c>
      <c r="G8" s="126">
        <v>7.7409766614437103E-2</v>
      </c>
      <c r="H8" s="126">
        <v>1.1914217472076416</v>
      </c>
      <c r="I8" s="126">
        <v>1.0851937532424927</v>
      </c>
      <c r="J8" s="126">
        <v>-0.32276153564453125</v>
      </c>
      <c r="K8" s="126">
        <v>1.0022176504135132</v>
      </c>
      <c r="L8" s="126">
        <v>2.1486475467681885</v>
      </c>
      <c r="M8" s="126">
        <v>0.89118880033493042</v>
      </c>
      <c r="N8" s="126">
        <v>-0.31018862128257751</v>
      </c>
      <c r="O8" s="126">
        <v>0.54713457822799683</v>
      </c>
      <c r="P8" s="126">
        <v>1.7832305431365967</v>
      </c>
      <c r="Q8" s="126">
        <v>1.1490360498428345</v>
      </c>
      <c r="R8" s="126">
        <v>-0.59964394569396973</v>
      </c>
      <c r="S8" s="126">
        <v>0.40263152122497559</v>
      </c>
      <c r="T8" s="126">
        <v>1.6607534885406494</v>
      </c>
      <c r="U8" s="126">
        <v>0.84286779165267944</v>
      </c>
      <c r="V8" s="125">
        <v>-0.75587069988250732</v>
      </c>
      <c r="W8" s="126">
        <v>2.257157489657402E-2</v>
      </c>
      <c r="X8" s="126">
        <v>2.1029970645904541</v>
      </c>
      <c r="Y8" s="126">
        <v>0.85447734594345093</v>
      </c>
    </row>
    <row r="9" spans="1:25" ht="15.75" x14ac:dyDescent="0.25">
      <c r="A9" s="96">
        <v>2012</v>
      </c>
      <c r="B9" s="125">
        <v>6.7612648010253906E-2</v>
      </c>
      <c r="C9" s="126">
        <v>-0.3465391993522644</v>
      </c>
      <c r="D9" s="126">
        <v>5.3091369569301605E-2</v>
      </c>
      <c r="E9" s="126">
        <v>-0.5063740611076355</v>
      </c>
      <c r="F9" s="126">
        <v>-0.59326279163360596</v>
      </c>
      <c r="G9" s="126">
        <v>-5.2124024368822575E-3</v>
      </c>
      <c r="H9" s="126">
        <v>1.3681745529174805</v>
      </c>
      <c r="I9" s="126">
        <v>0.90932720899581909</v>
      </c>
      <c r="J9" s="126">
        <v>-0.33171436190605164</v>
      </c>
      <c r="K9" s="126">
        <v>0.9193732738494873</v>
      </c>
      <c r="L9" s="126">
        <v>2.1557638645172119</v>
      </c>
      <c r="M9" s="126">
        <v>0.83737903833389282</v>
      </c>
      <c r="N9" s="126">
        <v>-0.22185291349887848</v>
      </c>
      <c r="O9" s="126">
        <v>0.47716996073722839</v>
      </c>
      <c r="P9" s="126">
        <v>1.9579020738601685</v>
      </c>
      <c r="Q9" s="126">
        <v>1.1455000638961792</v>
      </c>
      <c r="R9" s="126">
        <v>-0.58356904983520508</v>
      </c>
      <c r="S9" s="126">
        <v>0.37976944446563721</v>
      </c>
      <c r="T9" s="126">
        <v>1.7240780591964722</v>
      </c>
      <c r="U9" s="126">
        <v>0.78748959302902222</v>
      </c>
      <c r="V9" s="125">
        <v>-0.6891058087348938</v>
      </c>
      <c r="W9" s="126">
        <v>0.21331295371055603</v>
      </c>
      <c r="X9" s="126">
        <v>2.1157081127166748</v>
      </c>
      <c r="Y9" s="126">
        <v>0.53863257169723511</v>
      </c>
    </row>
    <row r="10" spans="1:25" ht="15.75" x14ac:dyDescent="0.25">
      <c r="A10" s="96">
        <v>2013</v>
      </c>
      <c r="B10" s="125">
        <v>3.6121301352977753E-2</v>
      </c>
      <c r="C10" s="126">
        <v>-0.33967924118041992</v>
      </c>
      <c r="D10" s="126">
        <v>3.6768428981304169E-2</v>
      </c>
      <c r="E10" s="126">
        <v>-0.50507259368896484</v>
      </c>
      <c r="F10" s="126">
        <v>-0.51926463842391968</v>
      </c>
      <c r="G10" s="126">
        <v>5.1791593432426453E-2</v>
      </c>
      <c r="H10" s="126">
        <v>1.3781783580780029</v>
      </c>
      <c r="I10" s="126">
        <v>1.0740222930908203</v>
      </c>
      <c r="J10" s="126">
        <v>-0.2442580908536911</v>
      </c>
      <c r="K10" s="126">
        <v>1.0071662664413452</v>
      </c>
      <c r="L10" s="126">
        <v>2.0804102420806885</v>
      </c>
      <c r="M10" s="126">
        <v>0.86492925882339478</v>
      </c>
      <c r="N10" s="126">
        <v>-0.12326587736606598</v>
      </c>
      <c r="O10" s="126">
        <v>0.56780821084976196</v>
      </c>
      <c r="P10" s="126">
        <v>1.9601083993911743</v>
      </c>
      <c r="Q10" s="126">
        <v>1.0985782146453857</v>
      </c>
      <c r="R10" s="126">
        <v>-0.5331915020942688</v>
      </c>
      <c r="S10" s="126">
        <v>0.34140294790267944</v>
      </c>
      <c r="T10" s="126">
        <v>1.6971819400787354</v>
      </c>
      <c r="U10" s="126">
        <v>0.58922499418258667</v>
      </c>
      <c r="V10" s="125">
        <v>-0.66003966331481934</v>
      </c>
      <c r="W10" s="126">
        <v>0.33329123258590698</v>
      </c>
      <c r="X10" s="126">
        <v>2.0705025196075439</v>
      </c>
      <c r="Y10" s="126">
        <v>0.63907504081726074</v>
      </c>
    </row>
    <row r="11" spans="1:25" ht="15.75" x14ac:dyDescent="0.25">
      <c r="A11" s="96">
        <v>2014</v>
      </c>
      <c r="B11" s="125">
        <v>0.15392166376113892</v>
      </c>
      <c r="C11" s="126">
        <v>-0.36029103398323059</v>
      </c>
      <c r="D11" s="126">
        <v>-9.8644964396953583E-2</v>
      </c>
      <c r="E11" s="126">
        <v>-0.62501543760299683</v>
      </c>
      <c r="F11" s="126">
        <v>-0.41682404279708862</v>
      </c>
      <c r="G11" s="126">
        <v>0.26661914587020874</v>
      </c>
      <c r="H11" s="126">
        <v>1.1862714290618896</v>
      </c>
      <c r="I11" s="126">
        <v>1.2615070343017578</v>
      </c>
      <c r="J11" s="126">
        <v>-6.4909890294075012E-2</v>
      </c>
      <c r="K11" s="126">
        <v>1.1608197689056396</v>
      </c>
      <c r="L11" s="126">
        <v>2.1753144264221191</v>
      </c>
      <c r="M11" s="126">
        <v>1.0818734169006348</v>
      </c>
      <c r="N11" s="126">
        <v>-8.3587504923343658E-3</v>
      </c>
      <c r="O11" s="126">
        <v>0.79923129081726074</v>
      </c>
      <c r="P11" s="126">
        <v>2.2263600826263428</v>
      </c>
      <c r="Q11" s="126">
        <v>0.98060435056686401</v>
      </c>
      <c r="R11" s="126">
        <v>-0.3106178343296051</v>
      </c>
      <c r="S11" s="126">
        <v>0.52419072389602661</v>
      </c>
      <c r="T11" s="126">
        <v>1.8206549882888794</v>
      </c>
      <c r="U11" s="126">
        <v>0.47205841541290283</v>
      </c>
      <c r="V11" s="125">
        <v>-0.59759914875030518</v>
      </c>
      <c r="W11" s="126">
        <v>0.39668908715248108</v>
      </c>
      <c r="X11" s="126">
        <v>2.0675637722015381</v>
      </c>
      <c r="Y11" s="126">
        <v>0.52615153789520264</v>
      </c>
    </row>
    <row r="12" spans="1:25" ht="15.75" x14ac:dyDescent="0.25">
      <c r="A12" s="96">
        <v>2015</v>
      </c>
      <c r="B12" s="125">
        <v>0.18487124145030975</v>
      </c>
      <c r="C12" s="126">
        <v>-0.39146658778190613</v>
      </c>
      <c r="D12" s="126">
        <v>-0.16181027889251709</v>
      </c>
      <c r="E12" s="126">
        <v>-0.7541394829750061</v>
      </c>
      <c r="F12" s="126">
        <v>-0.61506068706512451</v>
      </c>
      <c r="G12" s="126">
        <v>0.25895756483078003</v>
      </c>
      <c r="H12" s="126">
        <v>1.3117527961730957</v>
      </c>
      <c r="I12" s="126">
        <v>1.2426623106002808</v>
      </c>
      <c r="J12" s="126">
        <v>-0.29632812738418579</v>
      </c>
      <c r="K12" s="126">
        <v>0.95808625221252441</v>
      </c>
      <c r="L12" s="126">
        <v>2.2308759689331055</v>
      </c>
      <c r="M12" s="126">
        <v>1.056566596031189</v>
      </c>
      <c r="N12" s="126">
        <v>-0.14108996093273163</v>
      </c>
      <c r="O12" s="126">
        <v>0.71639120578765869</v>
      </c>
      <c r="P12" s="126">
        <v>2.2553470134735107</v>
      </c>
      <c r="Q12" s="126">
        <v>0.84814149141311646</v>
      </c>
      <c r="R12" s="126">
        <v>-0.40508553385734558</v>
      </c>
      <c r="S12" s="126">
        <v>0.42457666993141174</v>
      </c>
      <c r="T12" s="126">
        <v>1.8070002794265747</v>
      </c>
      <c r="U12" s="126">
        <v>0.40460166335105896</v>
      </c>
      <c r="V12" s="125">
        <v>-0.49511358141899109</v>
      </c>
      <c r="W12" s="126">
        <v>0.21102385222911835</v>
      </c>
      <c r="X12" s="126">
        <v>2.0908441543579102</v>
      </c>
      <c r="Y12" s="126">
        <v>0.5685160756111145</v>
      </c>
    </row>
    <row r="13" spans="1:25" ht="15.75" x14ac:dyDescent="0.25">
      <c r="A13" s="96">
        <v>2016</v>
      </c>
      <c r="B13" s="125">
        <v>0.16796885430812836</v>
      </c>
      <c r="C13" s="126">
        <v>-0.41695103049278259</v>
      </c>
      <c r="D13" s="126">
        <v>-0.15036880970001221</v>
      </c>
      <c r="E13" s="126">
        <v>-0.90096300840377808</v>
      </c>
      <c r="F13" s="126">
        <v>-0.37295243144035339</v>
      </c>
      <c r="G13" s="126">
        <v>0.13682462275028229</v>
      </c>
      <c r="H13" s="126">
        <v>1.4957586526870728</v>
      </c>
      <c r="I13" s="126">
        <v>1.1541720628738403</v>
      </c>
      <c r="J13" s="126">
        <v>-1.59781314432621E-2</v>
      </c>
      <c r="K13" s="126">
        <v>0.86415368318557739</v>
      </c>
      <c r="L13" s="126">
        <v>2.1976737976074219</v>
      </c>
      <c r="M13" s="126">
        <v>1.0792016983032227</v>
      </c>
      <c r="N13" s="126">
        <v>-2.16069296002388E-2</v>
      </c>
      <c r="O13" s="126">
        <v>0.67238694429397583</v>
      </c>
      <c r="P13" s="126">
        <v>2.1777729988098145</v>
      </c>
      <c r="Q13" s="126">
        <v>0.58965647220611572</v>
      </c>
      <c r="R13" s="126">
        <v>-0.32117339968681335</v>
      </c>
      <c r="S13" s="126">
        <v>0.40889036655426025</v>
      </c>
      <c r="T13" s="126">
        <v>1.8154541254043579</v>
      </c>
      <c r="U13" s="126">
        <v>0.5559837818145752</v>
      </c>
      <c r="V13" s="125">
        <v>-0.4398956298828125</v>
      </c>
      <c r="W13" s="126">
        <v>5.5027909576892853E-2</v>
      </c>
      <c r="X13" s="126">
        <v>2.083024263381958</v>
      </c>
      <c r="Y13" s="126">
        <v>0.56265318393707275</v>
      </c>
    </row>
    <row r="14" spans="1:25" ht="15.75" x14ac:dyDescent="0.25">
      <c r="A14" s="96">
        <v>2017</v>
      </c>
      <c r="B14" s="125">
        <v>0.13162344694137573</v>
      </c>
      <c r="C14" s="126">
        <v>-0.39886784553527832</v>
      </c>
      <c r="D14" s="126">
        <v>-0.16903530061244965</v>
      </c>
      <c r="E14" s="126">
        <v>-0.94865822792053223</v>
      </c>
      <c r="F14" s="126">
        <v>-0.49790340662002563</v>
      </c>
      <c r="G14" s="126">
        <v>0.11641034483909607</v>
      </c>
      <c r="H14" s="126">
        <v>1.6156699657440186</v>
      </c>
      <c r="I14" s="126">
        <v>1.160305380821228</v>
      </c>
      <c r="J14" s="126">
        <v>1.4091856777667999E-2</v>
      </c>
      <c r="K14" s="126">
        <v>0.82415443658828735</v>
      </c>
      <c r="L14" s="126">
        <v>2.2137622833251953</v>
      </c>
      <c r="M14" s="126">
        <v>1.140028715133667</v>
      </c>
      <c r="N14" s="126">
        <v>4.1742000728845596E-2</v>
      </c>
      <c r="O14" s="126">
        <v>0.68155175447463989</v>
      </c>
      <c r="P14" s="126">
        <v>2.1130104064941406</v>
      </c>
      <c r="Q14" s="126">
        <v>0.71351176500320435</v>
      </c>
      <c r="R14" s="126">
        <v>-0.33198875188827515</v>
      </c>
      <c r="S14" s="126">
        <v>0.41009384393692017</v>
      </c>
      <c r="T14" s="126">
        <v>1.8162840604782104</v>
      </c>
      <c r="U14" s="126">
        <v>0.64231544733047485</v>
      </c>
      <c r="V14" s="125">
        <v>-0.28053587675094604</v>
      </c>
      <c r="W14" s="126">
        <v>2.1052002906799316E-2</v>
      </c>
      <c r="X14" s="126">
        <v>2.1294841766357422</v>
      </c>
      <c r="Y14" s="126">
        <v>0.70813673734664917</v>
      </c>
    </row>
    <row r="15" spans="1:25" ht="15.75" x14ac:dyDescent="0.25">
      <c r="A15" s="96">
        <v>2018</v>
      </c>
      <c r="B15" s="125">
        <v>0.15434753894805908</v>
      </c>
      <c r="C15" s="126">
        <v>-0.10720095038414001</v>
      </c>
      <c r="D15" s="126">
        <v>-8.3973310887813568E-2</v>
      </c>
      <c r="E15" s="126">
        <v>-0.86268985271453857</v>
      </c>
      <c r="F15" s="126">
        <v>-0.54590809345245361</v>
      </c>
      <c r="G15" s="126">
        <v>0.25156876444816589</v>
      </c>
      <c r="H15" s="126">
        <v>1.4879364967346191</v>
      </c>
      <c r="I15" s="126">
        <v>1.24135971069335</v>
      </c>
      <c r="J15" s="126">
        <v>0.17690479755401611</v>
      </c>
      <c r="K15" s="126">
        <v>1.1014604568481445</v>
      </c>
      <c r="L15" s="126">
        <v>2.2219150066375732</v>
      </c>
      <c r="M15" s="126">
        <v>1.2455985546112061</v>
      </c>
      <c r="N15" s="126">
        <v>-9.8074860870838165E-3</v>
      </c>
      <c r="O15" s="126">
        <v>0.58460265398025513</v>
      </c>
      <c r="P15" s="126">
        <v>2.1253600120544434</v>
      </c>
      <c r="Q15" s="126">
        <v>0.68485671281814575</v>
      </c>
      <c r="R15" s="126">
        <v>-0.29469206929206848</v>
      </c>
      <c r="S15" s="126">
        <v>0.55336350202560425</v>
      </c>
      <c r="T15" s="126">
        <v>1.8353070020675659</v>
      </c>
      <c r="U15" s="126">
        <v>0.62303924560546875</v>
      </c>
      <c r="V15" s="125">
        <v>-0.27632966637611389</v>
      </c>
      <c r="W15" s="126">
        <v>0.3270220160484314</v>
      </c>
      <c r="X15" s="126">
        <v>2.1706435680389404</v>
      </c>
      <c r="Y15" s="126">
        <v>0.79113179445266724</v>
      </c>
    </row>
    <row r="16" spans="1:25" ht="15.75" x14ac:dyDescent="0.25">
      <c r="A16" s="96">
        <v>2019</v>
      </c>
      <c r="B16" s="125">
        <v>0.13211014866828918</v>
      </c>
      <c r="C16" s="126">
        <v>-4.8995554447174072E-2</v>
      </c>
      <c r="D16" s="126">
        <v>-0.20599597692489624</v>
      </c>
      <c r="E16" s="126">
        <v>-0.96785849332809448</v>
      </c>
      <c r="F16" s="126">
        <v>-0.4934045672416687</v>
      </c>
      <c r="G16" s="126">
        <v>0.1438768059015274</v>
      </c>
      <c r="H16" s="126">
        <v>1.5007864236831665</v>
      </c>
      <c r="I16" s="126">
        <v>1.1087989807128906</v>
      </c>
      <c r="J16" s="126">
        <v>0.17359352111816406</v>
      </c>
      <c r="K16" s="126">
        <v>1.0091394186019897</v>
      </c>
      <c r="L16" s="126">
        <v>2.2127344608306885</v>
      </c>
      <c r="M16" s="126">
        <v>1.3118091821670532</v>
      </c>
      <c r="N16" s="126">
        <v>4.104074090719223E-2</v>
      </c>
      <c r="O16" s="126">
        <v>0.55734145641326904</v>
      </c>
      <c r="P16" s="126">
        <v>2.1601128578186035</v>
      </c>
      <c r="Q16" s="126">
        <v>0.63257187604904175</v>
      </c>
      <c r="R16" s="126">
        <v>-0.32302859425544739</v>
      </c>
      <c r="S16" s="126">
        <v>0.51553827524185181</v>
      </c>
      <c r="T16" s="126">
        <v>1.8701682090759277</v>
      </c>
      <c r="U16" s="126">
        <v>0.60900348424911499</v>
      </c>
      <c r="V16" s="125">
        <v>-0.45207199454307556</v>
      </c>
      <c r="W16" s="126">
        <v>0.2593061625957489</v>
      </c>
      <c r="X16" s="126">
        <v>2.156531810760498</v>
      </c>
      <c r="Y16" s="126">
        <v>0.79834866523742676</v>
      </c>
    </row>
    <row r="17" spans="1:38" ht="15.75" x14ac:dyDescent="0.25">
      <c r="A17" s="96">
        <v>2020</v>
      </c>
      <c r="B17" s="125">
        <v>0.10111519694328308</v>
      </c>
      <c r="C17" s="126">
        <v>-0.14983098208904266</v>
      </c>
      <c r="D17" s="126">
        <v>-0.20380981266498566</v>
      </c>
      <c r="E17" s="126">
        <v>-0.93080073595046997</v>
      </c>
      <c r="F17" s="126">
        <v>-0.4487440288066864</v>
      </c>
      <c r="G17" s="126">
        <v>0.11392415314912796</v>
      </c>
      <c r="H17" s="126">
        <v>1.4608592987060547</v>
      </c>
      <c r="I17" s="126">
        <v>1.1823506355285645</v>
      </c>
      <c r="J17" s="126">
        <v>0.35016745328903198</v>
      </c>
      <c r="K17" s="126">
        <v>1.05908203125</v>
      </c>
      <c r="L17" s="126">
        <v>2.3248598575592041</v>
      </c>
      <c r="M17" s="126">
        <v>1.429679274559021</v>
      </c>
      <c r="N17" s="126">
        <v>0.22881618142127991</v>
      </c>
      <c r="O17" s="126">
        <v>0.67840307950973511</v>
      </c>
      <c r="P17" s="126">
        <v>2.212867259979248</v>
      </c>
      <c r="Q17" s="126">
        <v>0.91598993539810181</v>
      </c>
      <c r="R17" s="126">
        <v>-0.32754018902778625</v>
      </c>
      <c r="S17" s="126">
        <v>0.59411460161209106</v>
      </c>
      <c r="T17" s="126">
        <v>1.8702372312545776</v>
      </c>
      <c r="U17" s="126">
        <v>0.92495465278625488</v>
      </c>
      <c r="V17" s="125">
        <v>-0.43246930837631226</v>
      </c>
      <c r="W17" s="126">
        <v>0.25365361571311951</v>
      </c>
      <c r="X17" s="126">
        <v>2.1497471332550049</v>
      </c>
      <c r="Y17" s="126">
        <v>1.2782171964645386</v>
      </c>
    </row>
    <row r="18" spans="1:38" ht="15.75" x14ac:dyDescent="0.25">
      <c r="A18" s="96">
        <v>2021</v>
      </c>
      <c r="B18" s="125">
        <v>0.15521752834320068</v>
      </c>
      <c r="C18" s="126">
        <v>-0.15472234785556793</v>
      </c>
      <c r="D18" s="126">
        <v>-0.13606204092502594</v>
      </c>
      <c r="E18" s="126">
        <v>-0.84821075201034546</v>
      </c>
      <c r="F18" s="126">
        <v>-0.50647294521331787</v>
      </c>
      <c r="G18" s="126">
        <v>0.13885347545146942</v>
      </c>
      <c r="H18" s="126">
        <v>1.4931896924972534</v>
      </c>
      <c r="I18" s="126">
        <v>1.1686439514160156</v>
      </c>
      <c r="J18" s="126">
        <v>0.37900727987289429</v>
      </c>
      <c r="K18" s="126">
        <v>0.99168664216995239</v>
      </c>
      <c r="L18" s="126">
        <v>2.291487455368042</v>
      </c>
      <c r="M18" s="126">
        <v>1.4548332691192627</v>
      </c>
      <c r="N18" s="126">
        <v>0.29816204309463501</v>
      </c>
      <c r="O18" s="126">
        <v>0.72238963842391968</v>
      </c>
      <c r="P18" s="126">
        <v>2.2310440540313721</v>
      </c>
      <c r="Q18" s="126">
        <v>0.99343764781951904</v>
      </c>
      <c r="R18" s="126">
        <v>-0.22478073835372925</v>
      </c>
      <c r="S18" s="126">
        <v>0.557822585105896</v>
      </c>
      <c r="T18" s="126">
        <v>1.8577128648757935</v>
      </c>
      <c r="U18" s="126">
        <v>0.8902057409286499</v>
      </c>
      <c r="V18" s="125">
        <v>-0.42790558934211731</v>
      </c>
      <c r="W18" s="126">
        <v>0.17052732408046722</v>
      </c>
      <c r="X18" s="126">
        <v>2.1715395450592041</v>
      </c>
      <c r="Y18" s="126">
        <v>1.2464383840560913</v>
      </c>
    </row>
    <row r="19" spans="1:38" x14ac:dyDescent="0.25">
      <c r="A19" s="1"/>
      <c r="B19" s="7"/>
      <c r="F19" s="7"/>
      <c r="J19" s="7"/>
      <c r="N19" s="7"/>
      <c r="R19" s="7"/>
      <c r="V19" s="7"/>
    </row>
    <row r="20" spans="1:38" x14ac:dyDescent="0.25">
      <c r="A20" s="59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B21" s="7"/>
      <c r="F21" s="7"/>
      <c r="J21" s="7"/>
      <c r="N21" s="7"/>
      <c r="R21" s="7"/>
      <c r="V21" s="7"/>
    </row>
    <row r="22" spans="1:38" x14ac:dyDescent="0.25">
      <c r="B22" s="7"/>
      <c r="F22" s="7"/>
      <c r="J22" s="7"/>
      <c r="N22" s="7"/>
      <c r="R22" s="7"/>
      <c r="V22" s="7"/>
    </row>
    <row r="23" spans="1:38" x14ac:dyDescent="0.25">
      <c r="B23" s="7"/>
      <c r="F23" s="7"/>
      <c r="J23" s="7"/>
      <c r="N23" s="7"/>
      <c r="R23" s="7"/>
      <c r="V23" s="7"/>
    </row>
    <row r="24" spans="1:38" x14ac:dyDescent="0.25">
      <c r="B24" s="7"/>
      <c r="F24" s="7"/>
      <c r="J24" s="7"/>
      <c r="N24" s="7"/>
      <c r="R24" s="7"/>
      <c r="V24" s="7"/>
    </row>
    <row r="25" spans="1:38" x14ac:dyDescent="0.25">
      <c r="B25" s="7"/>
      <c r="F25" s="7"/>
      <c r="J25" s="7"/>
      <c r="N25" s="7"/>
      <c r="R25" s="7"/>
      <c r="V25" s="7"/>
    </row>
    <row r="26" spans="1:38" x14ac:dyDescent="0.25">
      <c r="B26" s="7"/>
      <c r="F26" s="7"/>
      <c r="J26" s="7"/>
      <c r="N26" s="7"/>
      <c r="R26" s="7"/>
      <c r="V26" s="7"/>
    </row>
    <row r="27" spans="1:38" x14ac:dyDescent="0.25">
      <c r="B27" s="7"/>
      <c r="F27" s="7"/>
      <c r="J27" s="7"/>
      <c r="N27" s="7"/>
      <c r="R27" s="7"/>
      <c r="V27" s="7"/>
    </row>
    <row r="28" spans="1:38" x14ac:dyDescent="0.25">
      <c r="B28" s="7"/>
      <c r="F28" s="7"/>
      <c r="J28" s="7"/>
      <c r="N28" s="7"/>
      <c r="R28" s="7"/>
      <c r="V28" s="7"/>
    </row>
    <row r="29" spans="1:38" x14ac:dyDescent="0.25">
      <c r="B29" s="7"/>
      <c r="F29" s="7"/>
      <c r="J29" s="7"/>
      <c r="N29" s="7"/>
      <c r="R29" s="7"/>
      <c r="V29" s="7"/>
    </row>
    <row r="30" spans="1:38" x14ac:dyDescent="0.25">
      <c r="B30" s="7"/>
      <c r="F30" s="7"/>
      <c r="J30" s="7"/>
      <c r="N30" s="7"/>
      <c r="R30" s="7"/>
      <c r="V30" s="7"/>
    </row>
    <row r="31" spans="1:38" x14ac:dyDescent="0.25">
      <c r="B31" s="7"/>
      <c r="F31" s="7"/>
      <c r="J31" s="7"/>
      <c r="N31" s="7"/>
      <c r="R31" s="7"/>
      <c r="V31" s="7"/>
    </row>
    <row r="32" spans="1:38" x14ac:dyDescent="0.25">
      <c r="B32" s="7"/>
      <c r="F32" s="7"/>
      <c r="J32" s="7"/>
      <c r="N32" s="7"/>
      <c r="R32" s="7"/>
      <c r="V32" s="7"/>
    </row>
    <row r="33" spans="2:22" x14ac:dyDescent="0.25">
      <c r="B33" s="7"/>
      <c r="F33" s="7"/>
      <c r="J33" s="7"/>
      <c r="N33" s="7"/>
      <c r="R33" s="7"/>
      <c r="V33" s="7"/>
    </row>
    <row r="34" spans="2:22" x14ac:dyDescent="0.25">
      <c r="B34" s="7"/>
      <c r="F34" s="7"/>
      <c r="J34" s="7"/>
      <c r="N34" s="7"/>
      <c r="R34" s="7"/>
      <c r="V34" s="7"/>
    </row>
    <row r="35" spans="2:22" x14ac:dyDescent="0.25">
      <c r="B35" s="7"/>
      <c r="F35" s="7"/>
      <c r="J35" s="7"/>
      <c r="N35" s="7"/>
      <c r="R35" s="7"/>
      <c r="V35" s="7"/>
    </row>
    <row r="36" spans="2:22" x14ac:dyDescent="0.25">
      <c r="B36" s="7"/>
      <c r="F36" s="7"/>
      <c r="J36" s="7"/>
      <c r="N36" s="7"/>
      <c r="R36" s="7"/>
      <c r="V36" s="7"/>
    </row>
    <row r="37" spans="2:22" x14ac:dyDescent="0.25">
      <c r="B37" s="7"/>
      <c r="F37" s="7"/>
      <c r="J37" s="7"/>
      <c r="N37" s="7"/>
      <c r="R37" s="7"/>
      <c r="V37" s="7"/>
    </row>
    <row r="38" spans="2:22" x14ac:dyDescent="0.25">
      <c r="B38" s="7"/>
      <c r="F38" s="7"/>
      <c r="J38" s="7"/>
      <c r="N38" s="7"/>
      <c r="R38" s="7"/>
      <c r="V38" s="7"/>
    </row>
    <row r="39" spans="2:22" x14ac:dyDescent="0.25">
      <c r="B39" s="7"/>
      <c r="F39" s="7"/>
      <c r="J39" s="7"/>
      <c r="N39" s="7"/>
      <c r="R39" s="7"/>
      <c r="V39" s="7"/>
    </row>
    <row r="40" spans="2:22" x14ac:dyDescent="0.25">
      <c r="B40" s="7"/>
      <c r="F40" s="7"/>
      <c r="J40" s="7"/>
      <c r="N40" s="7"/>
      <c r="R40" s="7"/>
      <c r="V40" s="7"/>
    </row>
    <row r="41" spans="2:22" x14ac:dyDescent="0.25">
      <c r="B41" s="7"/>
      <c r="F41" s="7"/>
      <c r="J41" s="7"/>
      <c r="N41" s="7"/>
      <c r="R41" s="7"/>
      <c r="V41" s="7"/>
    </row>
    <row r="42" spans="2:22" x14ac:dyDescent="0.25">
      <c r="B42" s="7"/>
      <c r="F42" s="7"/>
      <c r="J42" s="7"/>
      <c r="N42" s="7"/>
      <c r="R42" s="7"/>
      <c r="V42" s="7"/>
    </row>
    <row r="43" spans="2:22" x14ac:dyDescent="0.25">
      <c r="B43" s="7"/>
      <c r="F43" s="7"/>
      <c r="J43" s="7"/>
      <c r="N43" s="7"/>
      <c r="R43" s="7"/>
      <c r="V43" s="7"/>
    </row>
    <row r="44" spans="2:22" x14ac:dyDescent="0.25">
      <c r="B44" s="7"/>
      <c r="F44" s="7"/>
      <c r="J44" s="7"/>
      <c r="N44" s="7"/>
      <c r="R44" s="7"/>
      <c r="V44" s="7"/>
    </row>
    <row r="45" spans="2:22" x14ac:dyDescent="0.25">
      <c r="B45" s="7"/>
      <c r="F45" s="7"/>
      <c r="J45" s="7"/>
      <c r="N45" s="7"/>
      <c r="R45" s="7"/>
      <c r="V45" s="7"/>
    </row>
    <row r="46" spans="2:22" x14ac:dyDescent="0.25">
      <c r="B46" s="7"/>
      <c r="F46" s="7"/>
      <c r="J46" s="7"/>
      <c r="N46" s="7"/>
      <c r="R46" s="7"/>
      <c r="V46" s="7"/>
    </row>
    <row r="47" spans="2:22" x14ac:dyDescent="0.25">
      <c r="B47" s="7"/>
      <c r="F47" s="7"/>
      <c r="J47" s="7"/>
      <c r="N47" s="7"/>
      <c r="R47" s="7"/>
      <c r="V47" s="7"/>
    </row>
    <row r="48" spans="2:22" x14ac:dyDescent="0.25">
      <c r="B48" s="7"/>
      <c r="F48" s="7"/>
      <c r="J48" s="7"/>
      <c r="N48" s="7"/>
      <c r="R48" s="7"/>
      <c r="V48" s="7"/>
    </row>
    <row r="49" spans="2:22" x14ac:dyDescent="0.25">
      <c r="B49" s="7"/>
      <c r="F49" s="7"/>
      <c r="J49" s="7"/>
      <c r="N49" s="7"/>
      <c r="R49" s="7"/>
      <c r="V49" s="7"/>
    </row>
    <row r="50" spans="2:22" x14ac:dyDescent="0.25">
      <c r="B50" s="7"/>
      <c r="F50" s="7"/>
      <c r="J50" s="7"/>
      <c r="N50" s="7"/>
      <c r="R50" s="7"/>
      <c r="V50" s="7"/>
    </row>
    <row r="51" spans="2:22" x14ac:dyDescent="0.25">
      <c r="B51" s="7"/>
      <c r="F51" s="7"/>
      <c r="J51" s="7"/>
      <c r="N51" s="7"/>
      <c r="R51" s="7"/>
      <c r="V51" s="7"/>
    </row>
    <row r="52" spans="2:22" x14ac:dyDescent="0.25">
      <c r="B52" s="7"/>
      <c r="F52" s="7"/>
      <c r="J52" s="7"/>
      <c r="N52" s="7"/>
      <c r="R52" s="7"/>
      <c r="V52" s="7"/>
    </row>
    <row r="53" spans="2:22" x14ac:dyDescent="0.25">
      <c r="B53" s="7"/>
      <c r="F53" s="7"/>
      <c r="J53" s="7"/>
      <c r="N53" s="7"/>
      <c r="R53" s="7"/>
      <c r="V53" s="7"/>
    </row>
    <row r="54" spans="2:22" x14ac:dyDescent="0.25">
      <c r="B54" s="7"/>
      <c r="F54" s="7"/>
      <c r="J54" s="7"/>
      <c r="N54" s="7"/>
      <c r="R54" s="7"/>
      <c r="V54" s="7"/>
    </row>
    <row r="55" spans="2:22" x14ac:dyDescent="0.25">
      <c r="B55" s="7"/>
      <c r="F55" s="7"/>
      <c r="J55" s="7"/>
      <c r="N55" s="7"/>
      <c r="R55" s="7"/>
      <c r="V55" s="7"/>
    </row>
    <row r="56" spans="2:22" x14ac:dyDescent="0.25">
      <c r="B56" s="7"/>
      <c r="F56" s="7"/>
      <c r="J56" s="7"/>
      <c r="N56" s="7"/>
      <c r="R56" s="7"/>
      <c r="V56" s="7"/>
    </row>
    <row r="57" spans="2:22" x14ac:dyDescent="0.25">
      <c r="B57" s="7"/>
      <c r="F57" s="7"/>
      <c r="J57" s="7"/>
      <c r="N57" s="7"/>
      <c r="R57" s="7"/>
      <c r="V57" s="7"/>
    </row>
    <row r="58" spans="2:22" x14ac:dyDescent="0.25">
      <c r="B58" s="7"/>
      <c r="F58" s="7"/>
      <c r="J58" s="7"/>
      <c r="N58" s="7"/>
      <c r="R58" s="7"/>
      <c r="V58" s="7"/>
    </row>
    <row r="59" spans="2:22" x14ac:dyDescent="0.25">
      <c r="B59" s="7"/>
      <c r="F59" s="7"/>
      <c r="J59" s="7"/>
      <c r="N59" s="7"/>
      <c r="R59" s="7"/>
      <c r="V59" s="7"/>
    </row>
    <row r="60" spans="2:22" x14ac:dyDescent="0.25">
      <c r="B60" s="7"/>
      <c r="F60" s="7"/>
      <c r="J60" s="7"/>
      <c r="N60" s="7"/>
      <c r="R60" s="7"/>
      <c r="V60" s="7"/>
    </row>
    <row r="61" spans="2:22" x14ac:dyDescent="0.25">
      <c r="B61" s="7"/>
      <c r="F61" s="7"/>
      <c r="J61" s="7"/>
      <c r="N61" s="7"/>
      <c r="R61" s="7"/>
      <c r="V61" s="7"/>
    </row>
    <row r="62" spans="2:22" x14ac:dyDescent="0.25">
      <c r="B62" s="7"/>
      <c r="F62" s="7"/>
      <c r="J62" s="7"/>
      <c r="N62" s="7"/>
      <c r="R62" s="7"/>
      <c r="V62" s="7"/>
    </row>
    <row r="63" spans="2:22" x14ac:dyDescent="0.25">
      <c r="B63" s="7"/>
      <c r="F63" s="7"/>
      <c r="J63" s="7"/>
      <c r="N63" s="7"/>
      <c r="R63" s="7"/>
      <c r="V63" s="7"/>
    </row>
  </sheetData>
  <mergeCells count="7">
    <mergeCell ref="V3:Y3"/>
    <mergeCell ref="A2:A3"/>
    <mergeCell ref="B3:E3"/>
    <mergeCell ref="F3:I3"/>
    <mergeCell ref="J3:M3"/>
    <mergeCell ref="R3:U3"/>
    <mergeCell ref="N3:Q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4010-C8D9-4B2F-B06D-A2A697A0E44E}">
  <dimension ref="A1:Y36"/>
  <sheetViews>
    <sheetView zoomScaleNormal="100" workbookViewId="0">
      <pane xSplit="1" topLeftCell="B1" activePane="topRight" state="frozen"/>
      <selection pane="topRight" activeCell="B3" sqref="B3"/>
    </sheetView>
  </sheetViews>
  <sheetFormatPr defaultRowHeight="15" x14ac:dyDescent="0.25"/>
  <cols>
    <col min="1" max="1" width="9.28515625" style="95" bestFit="1" customWidth="1"/>
    <col min="2" max="2" width="25.140625" style="95" customWidth="1"/>
    <col min="3" max="3" width="18.140625" style="95" customWidth="1"/>
    <col min="4" max="4" width="16.85546875" style="95" bestFit="1" customWidth="1"/>
    <col min="5" max="5" width="16.140625" style="95" bestFit="1" customWidth="1"/>
    <col min="6" max="6" width="15.7109375" style="95" bestFit="1" customWidth="1"/>
    <col min="7" max="7" width="16.140625" style="95" bestFit="1" customWidth="1"/>
    <col min="8" max="8" width="15.7109375" style="95" bestFit="1" customWidth="1"/>
    <col min="9" max="9" width="19.28515625" style="95" bestFit="1" customWidth="1"/>
  </cols>
  <sheetData>
    <row r="1" spans="1:25" x14ac:dyDescent="0.25">
      <c r="B1" s="158"/>
      <c r="C1" s="158"/>
      <c r="D1" s="158"/>
      <c r="E1" s="158"/>
      <c r="F1" s="158"/>
      <c r="G1" s="158"/>
      <c r="H1" s="158"/>
      <c r="I1" s="15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x14ac:dyDescent="0.25">
      <c r="A2" s="156" t="s">
        <v>62</v>
      </c>
      <c r="B2" s="160" t="s">
        <v>9</v>
      </c>
      <c r="C2" s="161"/>
      <c r="D2" s="160" t="s">
        <v>10</v>
      </c>
      <c r="E2" s="161"/>
      <c r="F2" s="160" t="s">
        <v>27</v>
      </c>
      <c r="G2" s="161"/>
      <c r="H2" s="160" t="s">
        <v>63</v>
      </c>
      <c r="I2" s="161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1.5" x14ac:dyDescent="0.25">
      <c r="A3" s="157"/>
      <c r="B3" s="68" t="s">
        <v>64</v>
      </c>
      <c r="C3" s="68" t="s">
        <v>51</v>
      </c>
      <c r="D3" s="119" t="s">
        <v>65</v>
      </c>
      <c r="E3" s="68" t="s">
        <v>51</v>
      </c>
      <c r="F3" s="119" t="s">
        <v>20</v>
      </c>
      <c r="G3" s="68" t="s">
        <v>51</v>
      </c>
      <c r="H3" s="119" t="s">
        <v>50</v>
      </c>
      <c r="I3" s="68" t="s">
        <v>51</v>
      </c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5.75" x14ac:dyDescent="0.25">
      <c r="A4" s="68">
        <v>2007</v>
      </c>
      <c r="B4" s="120">
        <v>740000000000</v>
      </c>
      <c r="C4" s="120">
        <v>74</v>
      </c>
      <c r="D4" s="120">
        <v>174650000</v>
      </c>
      <c r="E4" s="120">
        <f t="shared" ref="E4:E18" si="0">(D4/3.34)/1000000</f>
        <v>52.290419161676645</v>
      </c>
      <c r="F4" s="120">
        <f>(14.4+2.1)*1000000</f>
        <v>16500000</v>
      </c>
      <c r="G4" s="120">
        <f t="shared" ref="G4:G18" si="1">SUM(F4:F4)/1000000</f>
        <v>16.5</v>
      </c>
      <c r="H4" s="120">
        <f>30.535*1000</f>
        <v>30535</v>
      </c>
      <c r="I4" s="120">
        <f t="shared" ref="I4:I18" si="2">SUM(H4:H4)/1000000</f>
        <v>3.0535E-2</v>
      </c>
    </row>
    <row r="5" spans="1:25" ht="15.75" x14ac:dyDescent="0.25">
      <c r="A5" s="68">
        <v>2008</v>
      </c>
      <c r="B5" s="120">
        <v>9200000000000</v>
      </c>
      <c r="C5" s="120">
        <v>920</v>
      </c>
      <c r="D5" s="120">
        <v>197870000</v>
      </c>
      <c r="E5" s="120">
        <f t="shared" si="0"/>
        <v>59.242514970059879</v>
      </c>
      <c r="F5" s="120">
        <f>(15.5+2.4)*1000000</f>
        <v>17900000</v>
      </c>
      <c r="G5" s="120">
        <f t="shared" si="1"/>
        <v>17.899999999999999</v>
      </c>
      <c r="H5" s="118">
        <f>2*1000</f>
        <v>2000</v>
      </c>
      <c r="I5" s="120">
        <f t="shared" si="2"/>
        <v>2E-3</v>
      </c>
    </row>
    <row r="6" spans="1:25" ht="15.75" x14ac:dyDescent="0.25">
      <c r="A6" s="68">
        <v>2009</v>
      </c>
      <c r="B6" s="120">
        <v>12000000000000</v>
      </c>
      <c r="C6" s="120">
        <v>1200</v>
      </c>
      <c r="D6" s="120">
        <v>278160000</v>
      </c>
      <c r="E6" s="120">
        <f t="shared" si="0"/>
        <v>83.281437125748496</v>
      </c>
      <c r="F6" s="120">
        <f>(17.1+2.9)*1000000</f>
        <v>20000000</v>
      </c>
      <c r="G6" s="120">
        <f t="shared" si="1"/>
        <v>20</v>
      </c>
      <c r="H6" s="120">
        <v>37717.89</v>
      </c>
      <c r="I6" s="120">
        <f t="shared" si="2"/>
        <v>3.7717889999999997E-2</v>
      </c>
    </row>
    <row r="7" spans="1:25" ht="15.75" x14ac:dyDescent="0.25">
      <c r="A7" s="68">
        <v>2010</v>
      </c>
      <c r="B7" s="120">
        <v>15000000000000</v>
      </c>
      <c r="C7" s="120">
        <v>1500</v>
      </c>
      <c r="D7" s="120">
        <v>410260000</v>
      </c>
      <c r="E7" s="120">
        <f t="shared" si="0"/>
        <v>122.83233532934132</v>
      </c>
      <c r="F7" s="120">
        <f>(19.8+3)*1000000</f>
        <v>22800000</v>
      </c>
      <c r="G7" s="120">
        <f t="shared" si="1"/>
        <v>22.8</v>
      </c>
      <c r="H7" s="121">
        <f>24.72*1000</f>
        <v>24720</v>
      </c>
      <c r="I7" s="120">
        <f t="shared" si="2"/>
        <v>2.4719999999999999E-2</v>
      </c>
    </row>
    <row r="8" spans="1:25" ht="15.75" x14ac:dyDescent="0.25">
      <c r="A8" s="68">
        <v>2011</v>
      </c>
      <c r="B8" s="120">
        <v>17290000000000</v>
      </c>
      <c r="C8" s="120">
        <v>1729</v>
      </c>
      <c r="D8" s="120">
        <v>473560000</v>
      </c>
      <c r="E8" s="120">
        <f t="shared" si="0"/>
        <v>141.78443113772454</v>
      </c>
      <c r="F8" s="120">
        <f>(20.2+3.1)*1000000</f>
        <v>23300000</v>
      </c>
      <c r="G8" s="120">
        <f t="shared" si="1"/>
        <v>23.3</v>
      </c>
      <c r="H8" s="120">
        <v>2004000</v>
      </c>
      <c r="I8" s="120">
        <f t="shared" si="2"/>
        <v>2.004</v>
      </c>
    </row>
    <row r="9" spans="1:25" ht="15.75" x14ac:dyDescent="0.25">
      <c r="A9" s="68">
        <v>2012</v>
      </c>
      <c r="B9" s="120">
        <v>22120000000000</v>
      </c>
      <c r="C9" s="120">
        <v>2212</v>
      </c>
      <c r="D9" s="120">
        <v>401320000</v>
      </c>
      <c r="E9" s="120">
        <f t="shared" si="0"/>
        <v>120.1556886227545</v>
      </c>
      <c r="F9" s="120">
        <f>(25.06*1000000)+3730000</f>
        <v>28790000</v>
      </c>
      <c r="G9" s="120">
        <f t="shared" si="1"/>
        <v>28.79</v>
      </c>
      <c r="H9" s="120">
        <v>61000</v>
      </c>
      <c r="I9" s="120">
        <f t="shared" si="2"/>
        <v>6.0999999999999999E-2</v>
      </c>
    </row>
    <row r="10" spans="1:25" ht="15.75" x14ac:dyDescent="0.25">
      <c r="A10" s="68">
        <v>2013</v>
      </c>
      <c r="B10" s="120">
        <v>26390000000000</v>
      </c>
      <c r="C10" s="120">
        <v>2399.090909090909</v>
      </c>
      <c r="D10" s="120">
        <v>483440000</v>
      </c>
      <c r="E10" s="120">
        <f t="shared" si="0"/>
        <v>144.74251497005986</v>
      </c>
      <c r="F10" s="120">
        <f>(25.2+3.2)*1000000</f>
        <v>28400000</v>
      </c>
      <c r="G10" s="120">
        <f t="shared" si="1"/>
        <v>28.4</v>
      </c>
      <c r="H10" s="120">
        <v>31170</v>
      </c>
      <c r="I10" s="120">
        <f t="shared" si="2"/>
        <v>3.117E-2</v>
      </c>
    </row>
    <row r="11" spans="1:25" ht="15.75" x14ac:dyDescent="0.25">
      <c r="A11" s="68">
        <v>2014</v>
      </c>
      <c r="B11" s="120">
        <v>33000000000000</v>
      </c>
      <c r="C11" s="120">
        <v>2750</v>
      </c>
      <c r="D11" s="120">
        <v>538580000</v>
      </c>
      <c r="E11" s="120">
        <f t="shared" si="0"/>
        <v>161.25149700598803</v>
      </c>
      <c r="F11" s="120">
        <f>(28.3+3.5)*1000000</f>
        <v>31800000</v>
      </c>
      <c r="G11" s="120">
        <f t="shared" si="1"/>
        <v>31.8</v>
      </c>
      <c r="H11" s="120">
        <v>19000</v>
      </c>
      <c r="I11" s="120">
        <f t="shared" si="2"/>
        <v>1.9E-2</v>
      </c>
    </row>
    <row r="12" spans="1:25" ht="15.75" x14ac:dyDescent="0.25">
      <c r="A12" s="68">
        <v>2015</v>
      </c>
      <c r="B12" s="120">
        <v>36500000000000</v>
      </c>
      <c r="C12" s="120">
        <v>3650</v>
      </c>
      <c r="D12" s="120">
        <f>(8.24+557.9)*1000000</f>
        <v>566140000</v>
      </c>
      <c r="E12" s="120">
        <f t="shared" si="0"/>
        <v>169.50299401197606</v>
      </c>
      <c r="F12" s="120">
        <f>(31.8+3.5)*1000000</f>
        <v>35300000</v>
      </c>
      <c r="G12" s="120">
        <f t="shared" si="1"/>
        <v>35.299999999999997</v>
      </c>
      <c r="H12" s="120">
        <v>30380</v>
      </c>
      <c r="I12" s="120">
        <f t="shared" si="2"/>
        <v>3.0380000000000001E-2</v>
      </c>
    </row>
    <row r="13" spans="1:25" ht="15.75" x14ac:dyDescent="0.25">
      <c r="A13" s="68">
        <v>2016</v>
      </c>
      <c r="B13" s="120">
        <v>50172900000000</v>
      </c>
      <c r="C13" s="120">
        <v>3859.4538461538464</v>
      </c>
      <c r="D13" s="120">
        <f>(8.61+580.7)*1000000</f>
        <v>589310000</v>
      </c>
      <c r="E13" s="120">
        <f t="shared" si="0"/>
        <v>176.44011976047906</v>
      </c>
      <c r="F13" s="120">
        <f>(34.5+3.7)*1000000</f>
        <v>38200000</v>
      </c>
      <c r="G13" s="120">
        <f t="shared" si="1"/>
        <v>38.200000000000003</v>
      </c>
      <c r="H13" s="94">
        <v>937480</v>
      </c>
      <c r="I13" s="120">
        <f t="shared" si="2"/>
        <v>0.93747999999999998</v>
      </c>
    </row>
    <row r="14" spans="1:25" ht="15.75" x14ac:dyDescent="0.25">
      <c r="A14" s="68">
        <v>2017</v>
      </c>
      <c r="B14" s="120">
        <v>62243700000000</v>
      </c>
      <c r="C14" s="120">
        <v>4787.9769230769234</v>
      </c>
      <c r="D14" s="120">
        <f>(8.74+615.2)*1000000</f>
        <v>623940000</v>
      </c>
      <c r="E14" s="120">
        <f t="shared" si="0"/>
        <v>186.80838323353294</v>
      </c>
      <c r="F14" s="120">
        <f>(40.4+3.8)*1000000</f>
        <v>44199999.999999993</v>
      </c>
      <c r="G14" s="120">
        <f t="shared" si="1"/>
        <v>44.199999999999996</v>
      </c>
      <c r="H14" s="94">
        <v>940120</v>
      </c>
      <c r="I14" s="120">
        <f t="shared" si="2"/>
        <v>0.94011999999999996</v>
      </c>
    </row>
    <row r="15" spans="1:25" ht="15.75" x14ac:dyDescent="0.25">
      <c r="A15" s="68">
        <v>2018</v>
      </c>
      <c r="B15" s="120">
        <v>81176000000000</v>
      </c>
      <c r="C15" s="120">
        <v>6244.3076923076924</v>
      </c>
      <c r="D15" s="120">
        <f>(9.14+651.2)*1000000</f>
        <v>660340000</v>
      </c>
      <c r="E15" s="120">
        <f t="shared" si="0"/>
        <v>197.70658682634732</v>
      </c>
      <c r="F15" s="120">
        <f>(39.1+3.9)*1000000</f>
        <v>43000000</v>
      </c>
      <c r="G15" s="120">
        <f t="shared" si="1"/>
        <v>43</v>
      </c>
      <c r="H15" s="94">
        <v>967190</v>
      </c>
      <c r="I15" s="120">
        <f t="shared" si="2"/>
        <v>0.96718999999999999</v>
      </c>
    </row>
    <row r="16" spans="1:25" ht="15.75" x14ac:dyDescent="0.25">
      <c r="A16" s="68">
        <v>2019</v>
      </c>
      <c r="B16" s="120">
        <v>102279400000000</v>
      </c>
      <c r="C16" s="120">
        <v>7867.6461538461544</v>
      </c>
      <c r="D16" s="120">
        <f>(9.81+678.6)*1000000</f>
        <v>688410000</v>
      </c>
      <c r="E16" s="120">
        <f t="shared" si="0"/>
        <v>206.11077844311379</v>
      </c>
      <c r="F16" s="120">
        <f>(42.5+4)*1000000</f>
        <v>46500000</v>
      </c>
      <c r="G16" s="120">
        <f t="shared" si="1"/>
        <v>46.5</v>
      </c>
      <c r="H16" s="94">
        <v>980260</v>
      </c>
      <c r="I16" s="120">
        <f t="shared" si="2"/>
        <v>0.98026000000000002</v>
      </c>
    </row>
    <row r="17" spans="1:9" ht="15.75" x14ac:dyDescent="0.25">
      <c r="A17" s="68">
        <v>2020</v>
      </c>
      <c r="B17" s="120">
        <v>124292500000000</v>
      </c>
      <c r="C17" s="120">
        <v>8878.0357142857156</v>
      </c>
      <c r="D17" s="120">
        <v>758060000</v>
      </c>
      <c r="E17" s="120">
        <f t="shared" si="0"/>
        <v>226.96407185628746</v>
      </c>
      <c r="F17" s="120">
        <f>(47.7+4.1)*1000000</f>
        <v>51800000.000000007</v>
      </c>
      <c r="G17" s="120">
        <f t="shared" si="1"/>
        <v>51.800000000000004</v>
      </c>
      <c r="H17" s="94">
        <v>977810</v>
      </c>
      <c r="I17" s="120">
        <f t="shared" si="2"/>
        <v>0.97780999999999996</v>
      </c>
    </row>
    <row r="18" spans="1:9" ht="15.75" x14ac:dyDescent="0.25">
      <c r="A18" s="68">
        <v>2021</v>
      </c>
      <c r="B18" s="120">
        <v>149982340000000</v>
      </c>
      <c r="C18" s="120">
        <v>10713.024285714286</v>
      </c>
      <c r="D18" s="120">
        <v>823580000</v>
      </c>
      <c r="E18" s="120">
        <f t="shared" si="0"/>
        <v>246.58083832335328</v>
      </c>
      <c r="F18" s="120">
        <f>(54.9+4.6)*1000000</f>
        <v>59500000</v>
      </c>
      <c r="G18" s="120">
        <f t="shared" si="1"/>
        <v>59.5</v>
      </c>
      <c r="H18" s="94">
        <v>17784380</v>
      </c>
      <c r="I18" s="120">
        <f t="shared" si="2"/>
        <v>17.784379999999999</v>
      </c>
    </row>
    <row r="22" spans="1:9" x14ac:dyDescent="0.25">
      <c r="D22" s="122"/>
      <c r="E22" s="123"/>
    </row>
    <row r="23" spans="1:9" x14ac:dyDescent="0.25">
      <c r="D23" s="122"/>
      <c r="E23" s="123"/>
    </row>
    <row r="24" spans="1:9" x14ac:dyDescent="0.25">
      <c r="D24" s="122"/>
      <c r="E24" s="123"/>
    </row>
    <row r="25" spans="1:9" x14ac:dyDescent="0.25">
      <c r="D25" s="122"/>
      <c r="E25" s="123"/>
    </row>
    <row r="26" spans="1:9" x14ac:dyDescent="0.25">
      <c r="D26" s="122"/>
      <c r="E26" s="123"/>
    </row>
    <row r="27" spans="1:9" x14ac:dyDescent="0.25">
      <c r="D27" s="122"/>
      <c r="E27" s="123"/>
    </row>
    <row r="28" spans="1:9" x14ac:dyDescent="0.25">
      <c r="D28" s="122"/>
      <c r="E28" s="123"/>
    </row>
    <row r="29" spans="1:9" x14ac:dyDescent="0.25">
      <c r="D29" s="122"/>
      <c r="E29" s="123"/>
    </row>
    <row r="30" spans="1:9" x14ac:dyDescent="0.25">
      <c r="D30" s="122"/>
      <c r="E30" s="123"/>
    </row>
    <row r="31" spans="1:9" x14ac:dyDescent="0.25">
      <c r="D31" s="122"/>
      <c r="E31" s="123"/>
    </row>
    <row r="32" spans="1:9" x14ac:dyDescent="0.25">
      <c r="D32" s="122"/>
      <c r="E32" s="123"/>
    </row>
    <row r="33" spans="4:5" x14ac:dyDescent="0.25">
      <c r="D33" s="122"/>
      <c r="E33" s="123"/>
    </row>
    <row r="34" spans="4:5" x14ac:dyDescent="0.25">
      <c r="D34" s="122"/>
      <c r="E34" s="123"/>
    </row>
    <row r="35" spans="4:5" x14ac:dyDescent="0.25">
      <c r="D35" s="122"/>
      <c r="E35" s="123"/>
    </row>
    <row r="36" spans="4:5" x14ac:dyDescent="0.25">
      <c r="D36" s="122"/>
      <c r="E36" s="123"/>
    </row>
  </sheetData>
  <mergeCells count="6">
    <mergeCell ref="A2:A3"/>
    <mergeCell ref="B1:I1"/>
    <mergeCell ref="H2:I2"/>
    <mergeCell ref="F2:G2"/>
    <mergeCell ref="D2:E2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47F8-A5DF-4772-BCB8-77626E4E1478}">
  <dimension ref="A1:L22"/>
  <sheetViews>
    <sheetView tabSelected="1" workbookViewId="0">
      <pane xSplit="1" topLeftCell="B1" activePane="topRight" state="frozen"/>
      <selection activeCell="A2" sqref="A2"/>
      <selection pane="topRight" activeCell="G18" sqref="G18"/>
    </sheetView>
  </sheetViews>
  <sheetFormatPr defaultRowHeight="15" x14ac:dyDescent="0.25"/>
  <cols>
    <col min="2" max="2" width="7.85546875" customWidth="1"/>
    <col min="3" max="3" width="11.42578125" bestFit="1" customWidth="1"/>
    <col min="4" max="4" width="12" customWidth="1"/>
    <col min="5" max="5" width="16.140625" bestFit="1" customWidth="1"/>
    <col min="6" max="6" width="12.42578125" style="46" customWidth="1"/>
    <col min="7" max="8" width="15.5703125" style="19" customWidth="1"/>
    <col min="9" max="9" width="10.5703125" bestFit="1" customWidth="1"/>
    <col min="10" max="10" width="11.42578125" style="3" bestFit="1" customWidth="1"/>
    <col min="11" max="11" width="10.5703125" customWidth="1"/>
    <col min="12" max="12" width="9.5703125" bestFit="1" customWidth="1"/>
  </cols>
  <sheetData>
    <row r="1" spans="1:11" x14ac:dyDescent="0.25">
      <c r="B1" s="127" t="s">
        <v>21</v>
      </c>
      <c r="C1" s="127"/>
      <c r="D1" s="127"/>
      <c r="E1" s="127"/>
      <c r="F1" s="127"/>
      <c r="G1" s="127"/>
      <c r="H1" s="127"/>
      <c r="I1" s="127"/>
      <c r="J1" s="127"/>
      <c r="K1" s="11"/>
    </row>
    <row r="2" spans="1:11" x14ac:dyDescent="0.25">
      <c r="A2" s="5"/>
      <c r="B2" s="128" t="s">
        <v>9</v>
      </c>
      <c r="C2" s="129"/>
      <c r="D2" s="129"/>
      <c r="E2" s="130"/>
      <c r="F2" s="133" t="s">
        <v>10</v>
      </c>
      <c r="G2" s="134"/>
      <c r="H2" s="128" t="s">
        <v>11</v>
      </c>
      <c r="I2" s="130"/>
      <c r="J2" s="131" t="s">
        <v>12</v>
      </c>
      <c r="K2" s="132"/>
    </row>
    <row r="3" spans="1:11" ht="66.75" customHeight="1" x14ac:dyDescent="0.25">
      <c r="A3" s="5"/>
      <c r="B3" s="21" t="s">
        <v>22</v>
      </c>
      <c r="C3" s="21" t="s">
        <v>34</v>
      </c>
      <c r="D3" s="21" t="s">
        <v>23</v>
      </c>
      <c r="E3" s="21" t="s">
        <v>32</v>
      </c>
      <c r="F3" s="21" t="s">
        <v>39</v>
      </c>
      <c r="G3" s="21" t="s">
        <v>37</v>
      </c>
      <c r="H3" s="21" t="s">
        <v>38</v>
      </c>
      <c r="I3" s="21" t="s">
        <v>33</v>
      </c>
      <c r="J3" s="41" t="s">
        <v>36</v>
      </c>
      <c r="K3" s="35" t="s">
        <v>35</v>
      </c>
    </row>
    <row r="4" spans="1:11" x14ac:dyDescent="0.25">
      <c r="A4" s="6">
        <v>2007</v>
      </c>
      <c r="B4" s="5">
        <v>25.2</v>
      </c>
      <c r="C4" s="14">
        <v>61.46</v>
      </c>
      <c r="D4" s="15">
        <v>37.17</v>
      </c>
      <c r="E4" s="67">
        <f>(D4/234.9)*100</f>
        <v>15.823754789272032</v>
      </c>
      <c r="F4" s="36">
        <v>25.31</v>
      </c>
      <c r="G4" s="13">
        <v>6857138.0700000003</v>
      </c>
      <c r="H4" s="13">
        <v>867245.21</v>
      </c>
      <c r="I4" s="32">
        <v>18.899999999999999</v>
      </c>
      <c r="J4" s="13">
        <v>28288.799999999999</v>
      </c>
      <c r="K4" s="43">
        <v>7.47</v>
      </c>
    </row>
    <row r="5" spans="1:11" x14ac:dyDescent="0.25">
      <c r="A5" s="6">
        <v>2008</v>
      </c>
      <c r="B5" s="5">
        <v>24.7</v>
      </c>
      <c r="C5" s="14">
        <v>58.76</v>
      </c>
      <c r="D5" s="15">
        <v>34.96</v>
      </c>
      <c r="E5" s="67">
        <f>(D5/237.9)*100</f>
        <v>14.695250105086172</v>
      </c>
      <c r="F5" s="36">
        <v>22.1</v>
      </c>
      <c r="G5" s="13">
        <v>6113809.4199999999</v>
      </c>
      <c r="H5" s="13">
        <v>909806.45</v>
      </c>
      <c r="I5" s="32">
        <v>18.8</v>
      </c>
      <c r="J5" s="13">
        <v>26756.29</v>
      </c>
      <c r="K5" s="11">
        <v>6.96</v>
      </c>
    </row>
    <row r="6" spans="1:11" x14ac:dyDescent="0.25">
      <c r="A6" s="6">
        <v>2009</v>
      </c>
      <c r="B6" s="5">
        <v>21</v>
      </c>
      <c r="C6" s="14">
        <v>50.61</v>
      </c>
      <c r="D6" s="15">
        <v>32.53</v>
      </c>
      <c r="E6" s="67">
        <f>(D6/241)*100</f>
        <v>13.497925311203321</v>
      </c>
      <c r="F6" s="47">
        <v>19.3</v>
      </c>
      <c r="G6" s="13">
        <v>5445920.3700000001</v>
      </c>
      <c r="H6" s="13">
        <v>932676.15</v>
      </c>
      <c r="I6" s="32">
        <v>18.7</v>
      </c>
      <c r="J6" s="14">
        <v>25306.799999999999</v>
      </c>
      <c r="K6" s="11">
        <v>6.48</v>
      </c>
    </row>
    <row r="7" spans="1:11" x14ac:dyDescent="0.25">
      <c r="A7" s="6">
        <v>2010</v>
      </c>
      <c r="B7" s="5">
        <v>18.3</v>
      </c>
      <c r="C7" s="14">
        <v>44.65</v>
      </c>
      <c r="D7" s="15">
        <v>31.02</v>
      </c>
      <c r="E7" s="67">
        <f>(D7/244)*100</f>
        <v>12.71311475409836</v>
      </c>
      <c r="F7" s="36">
        <v>12.47</v>
      </c>
      <c r="G7" s="13">
        <v>3581101.06</v>
      </c>
      <c r="H7" s="13">
        <v>944272.15</v>
      </c>
      <c r="I7" s="32">
        <v>18.600000000000001</v>
      </c>
      <c r="J7" s="13">
        <v>23935.83</v>
      </c>
      <c r="K7" s="11">
        <v>6.04</v>
      </c>
    </row>
    <row r="8" spans="1:11" x14ac:dyDescent="0.25">
      <c r="A8" s="6">
        <v>2011</v>
      </c>
      <c r="B8" s="5">
        <v>15.7</v>
      </c>
      <c r="C8" s="14">
        <v>38.79</v>
      </c>
      <c r="D8" s="16">
        <v>28.55</v>
      </c>
      <c r="E8" s="67">
        <f>(D8/247.1)*100</f>
        <v>11.554026709834076</v>
      </c>
      <c r="F8" s="36">
        <v>12.9</v>
      </c>
      <c r="G8" s="13">
        <v>3764753.16</v>
      </c>
      <c r="H8" s="13">
        <v>958982.28</v>
      </c>
      <c r="I8" s="32">
        <v>18.5</v>
      </c>
      <c r="J8" s="13">
        <v>22639.13</v>
      </c>
      <c r="K8" s="11">
        <v>5.64</v>
      </c>
    </row>
    <row r="9" spans="1:11" x14ac:dyDescent="0.25">
      <c r="A9" s="6">
        <v>2012</v>
      </c>
      <c r="B9" s="5">
        <v>13.7</v>
      </c>
      <c r="C9" s="14">
        <v>34.25</v>
      </c>
      <c r="D9" s="15">
        <v>28.6</v>
      </c>
      <c r="E9" s="67">
        <f>(D9/250)*100</f>
        <v>11.44</v>
      </c>
      <c r="F9" s="36">
        <v>7.38</v>
      </c>
      <c r="G9" s="13">
        <v>2188923.65</v>
      </c>
      <c r="H9" s="13">
        <v>977488.41</v>
      </c>
      <c r="I9" s="34">
        <v>18.399999999999999</v>
      </c>
      <c r="J9" s="13">
        <v>21412.68</v>
      </c>
      <c r="K9" s="11">
        <v>5.27</v>
      </c>
    </row>
    <row r="10" spans="1:11" x14ac:dyDescent="0.25">
      <c r="A10" s="6">
        <v>2013</v>
      </c>
      <c r="B10" s="5">
        <v>11.2</v>
      </c>
      <c r="C10" s="14">
        <v>28.36</v>
      </c>
      <c r="D10" s="15">
        <v>28.55</v>
      </c>
      <c r="E10" s="67">
        <f>(D10/253.3)*100</f>
        <v>11.271219897354914</v>
      </c>
      <c r="F10" s="36">
        <v>6.6</v>
      </c>
      <c r="G10" s="13">
        <v>1988897.26</v>
      </c>
      <c r="H10" s="13">
        <v>988046.65</v>
      </c>
      <c r="I10" s="32">
        <v>18.3</v>
      </c>
      <c r="J10" s="13">
        <v>20252.669999999998</v>
      </c>
      <c r="K10" s="11">
        <v>4.92</v>
      </c>
    </row>
    <row r="11" spans="1:11" x14ac:dyDescent="0.25">
      <c r="A11" s="6">
        <v>2014</v>
      </c>
      <c r="B11" s="5">
        <v>9.3000000000000007</v>
      </c>
      <c r="C11" s="14">
        <v>23.82</v>
      </c>
      <c r="D11" s="15">
        <v>27.72</v>
      </c>
      <c r="E11" s="67">
        <f>(D11/256.2)*100</f>
        <v>10.819672131147541</v>
      </c>
      <c r="F11" s="36">
        <v>5.9</v>
      </c>
      <c r="G11" s="13">
        <v>1805781.08</v>
      </c>
      <c r="H11" s="13">
        <v>1017368.66</v>
      </c>
      <c r="I11" s="34">
        <v>18.600000000000001</v>
      </c>
      <c r="J11" s="13">
        <v>19155.5</v>
      </c>
      <c r="K11" s="11">
        <v>4.5999999999999996</v>
      </c>
    </row>
    <row r="12" spans="1:11" x14ac:dyDescent="0.25">
      <c r="A12" s="6">
        <v>2015</v>
      </c>
      <c r="B12" s="5">
        <v>8.3000000000000007</v>
      </c>
      <c r="C12" s="14">
        <v>21.5</v>
      </c>
      <c r="D12" s="15">
        <v>28.52</v>
      </c>
      <c r="E12" s="67">
        <f>(D12/259.1)*100</f>
        <v>11.007333076032419</v>
      </c>
      <c r="F12" s="36">
        <v>4.8</v>
      </c>
      <c r="G12" s="13">
        <v>1491303.98</v>
      </c>
      <c r="H12" s="13">
        <v>963090.35</v>
      </c>
      <c r="I12" s="34">
        <v>17.399999999999999</v>
      </c>
      <c r="J12" s="13">
        <v>18117.77</v>
      </c>
      <c r="K12" s="11">
        <v>4.3</v>
      </c>
    </row>
    <row r="13" spans="1:11" x14ac:dyDescent="0.25">
      <c r="A13" s="6">
        <v>2016</v>
      </c>
      <c r="B13" s="5">
        <v>7.5</v>
      </c>
      <c r="C13" s="14">
        <v>19.64</v>
      </c>
      <c r="D13" s="15">
        <v>27.77</v>
      </c>
      <c r="E13" s="67">
        <f>(D13/261.9)*100</f>
        <v>10.603283696067201</v>
      </c>
      <c r="F13" s="45">
        <v>4.9000000000000004</v>
      </c>
      <c r="G13" s="13">
        <v>1544794.48</v>
      </c>
      <c r="H13" s="13">
        <v>1026132.79</v>
      </c>
      <c r="I13" s="34">
        <v>18.3</v>
      </c>
      <c r="J13" s="13">
        <v>17136.259999999998</v>
      </c>
      <c r="K13" s="11">
        <v>4.0199999999999996</v>
      </c>
    </row>
    <row r="14" spans="1:11" x14ac:dyDescent="0.25">
      <c r="A14" s="6">
        <v>2017</v>
      </c>
      <c r="B14" s="5">
        <v>6.6</v>
      </c>
      <c r="C14" s="14">
        <v>17.45</v>
      </c>
      <c r="D14" s="15">
        <v>26.59</v>
      </c>
      <c r="E14" s="67">
        <f>(D14/264.5)*100</f>
        <v>10.052930056710775</v>
      </c>
      <c r="F14" s="45">
        <v>4.0999999999999996</v>
      </c>
      <c r="G14" s="13">
        <v>1311008.5</v>
      </c>
      <c r="H14" s="13">
        <v>1071940.32</v>
      </c>
      <c r="I14" s="34">
        <v>19.100000000000001</v>
      </c>
      <c r="J14" s="13">
        <v>16207.92</v>
      </c>
      <c r="K14" s="11">
        <v>3.77</v>
      </c>
    </row>
    <row r="15" spans="1:11" x14ac:dyDescent="0.25">
      <c r="A15" s="6">
        <v>2018</v>
      </c>
      <c r="B15" s="5">
        <v>5.4</v>
      </c>
      <c r="C15" s="14">
        <v>14.43</v>
      </c>
      <c r="D15" s="15">
        <v>25.68</v>
      </c>
      <c r="E15" s="67">
        <f>(D15/267.1)*100</f>
        <v>9.6143766379633089</v>
      </c>
      <c r="F15" s="36">
        <v>3.4</v>
      </c>
      <c r="G15" s="13">
        <v>1101575.21</v>
      </c>
      <c r="H15" s="13">
        <v>1088264.47</v>
      </c>
      <c r="I15" s="34">
        <v>19.3</v>
      </c>
      <c r="J15" s="14">
        <v>15329.87</v>
      </c>
      <c r="K15" s="11">
        <v>3.53</v>
      </c>
    </row>
    <row r="16" spans="1:11" x14ac:dyDescent="0.25">
      <c r="A16" s="6">
        <v>2019</v>
      </c>
      <c r="B16" s="5">
        <v>4.4000000000000004</v>
      </c>
      <c r="C16" s="14">
        <v>11.86</v>
      </c>
      <c r="D16" s="15">
        <v>24.79</v>
      </c>
      <c r="E16" s="67">
        <f>(D16/269.6)*100</f>
        <v>9.1951038575667656</v>
      </c>
      <c r="F16" s="45">
        <v>3.4</v>
      </c>
      <c r="G16" s="13">
        <v>1115336.68</v>
      </c>
      <c r="H16" s="13">
        <v>1146417.3700000001</v>
      </c>
      <c r="I16" s="34">
        <v>20.100000000000001</v>
      </c>
      <c r="J16" s="14">
        <v>14499.39</v>
      </c>
      <c r="K16" s="11">
        <v>3.31</v>
      </c>
    </row>
    <row r="17" spans="1:12" x14ac:dyDescent="0.25">
      <c r="A17" s="6">
        <v>2020</v>
      </c>
      <c r="B17" s="5">
        <v>3.8</v>
      </c>
      <c r="C17" s="14">
        <v>10.33</v>
      </c>
      <c r="D17" s="15">
        <v>27.55</v>
      </c>
      <c r="E17" s="67">
        <f>(D17/271.9)*100</f>
        <v>10.132401618242001</v>
      </c>
      <c r="F17" s="45">
        <v>8.4</v>
      </c>
      <c r="G17" s="13">
        <v>2788799.41</v>
      </c>
      <c r="H17" s="13">
        <v>1159904.6299999999</v>
      </c>
      <c r="I17" s="34">
        <v>20.399999999999999</v>
      </c>
      <c r="J17" s="13">
        <v>14002.68</v>
      </c>
      <c r="K17" s="11">
        <v>3.17</v>
      </c>
    </row>
    <row r="18" spans="1:12" x14ac:dyDescent="0.25">
      <c r="A18" s="6">
        <v>2021</v>
      </c>
      <c r="B18" s="5">
        <v>3.5</v>
      </c>
      <c r="C18" s="14">
        <v>9.58</v>
      </c>
      <c r="D18" s="15">
        <v>26.5</v>
      </c>
      <c r="E18" s="67">
        <f>(D18/273.8)*100</f>
        <v>9.6785975164353548</v>
      </c>
      <c r="F18" s="36">
        <v>6.2</v>
      </c>
      <c r="G18" s="13">
        <v>2081580.19</v>
      </c>
      <c r="H18" s="13">
        <v>1025270.41</v>
      </c>
      <c r="I18" s="34">
        <v>18.8</v>
      </c>
      <c r="J18" s="13">
        <v>13405.73</v>
      </c>
      <c r="K18" s="11">
        <v>3.01</v>
      </c>
    </row>
    <row r="19" spans="1:12" ht="15.75" x14ac:dyDescent="0.25">
      <c r="G19" s="31"/>
      <c r="I19" s="33"/>
      <c r="J19" s="42"/>
    </row>
    <row r="20" spans="1:12" x14ac:dyDescent="0.25">
      <c r="G20" s="31"/>
      <c r="H20" s="19">
        <f>20%*4.5</f>
        <v>0.9</v>
      </c>
      <c r="L20" s="20"/>
    </row>
    <row r="21" spans="1:12" x14ac:dyDescent="0.25">
      <c r="G21" s="30"/>
      <c r="J21" s="37"/>
      <c r="L21" s="20"/>
    </row>
    <row r="22" spans="1:12" x14ac:dyDescent="0.25">
      <c r="I22" s="20"/>
    </row>
  </sheetData>
  <mergeCells count="5">
    <mergeCell ref="B1:J1"/>
    <mergeCell ref="B2:E2"/>
    <mergeCell ref="J2:K2"/>
    <mergeCell ref="H2:I2"/>
    <mergeCell ref="F2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88B8-9A56-48B1-9FCB-1EF78D21A7E3}">
  <dimension ref="A1:P63"/>
  <sheetViews>
    <sheetView workbookViewId="0">
      <selection activeCell="E1" sqref="E1"/>
    </sheetView>
  </sheetViews>
  <sheetFormatPr defaultRowHeight="15" x14ac:dyDescent="0.25"/>
  <cols>
    <col min="1" max="1" width="9.7109375" style="60" customWidth="1"/>
    <col min="3" max="3" width="9.140625" style="39"/>
    <col min="4" max="4" width="9.42578125" bestFit="1" customWidth="1"/>
    <col min="5" max="5" width="11.85546875" style="3" customWidth="1"/>
  </cols>
  <sheetData>
    <row r="1" spans="1:11" s="64" customFormat="1" x14ac:dyDescent="0.25">
      <c r="A1" s="62" t="s">
        <v>52</v>
      </c>
      <c r="B1" s="63" t="s">
        <v>49</v>
      </c>
      <c r="C1" s="62" t="s">
        <v>53</v>
      </c>
      <c r="D1" s="63" t="s">
        <v>54</v>
      </c>
      <c r="E1" s="66" t="s">
        <v>55</v>
      </c>
      <c r="F1" s="63" t="s">
        <v>56</v>
      </c>
      <c r="G1" s="63" t="s">
        <v>57</v>
      </c>
      <c r="H1" s="63" t="s">
        <v>58</v>
      </c>
      <c r="I1" s="63" t="s">
        <v>59</v>
      </c>
      <c r="J1" s="63" t="s">
        <v>60</v>
      </c>
      <c r="K1" s="63" t="s">
        <v>61</v>
      </c>
    </row>
    <row r="2" spans="1:11" x14ac:dyDescent="0.25">
      <c r="A2" s="61" t="s">
        <v>47</v>
      </c>
      <c r="B2" s="5">
        <v>2007</v>
      </c>
      <c r="C2" s="65">
        <v>15.823754789272032</v>
      </c>
      <c r="D2" s="65">
        <v>0.62847457627118675</v>
      </c>
      <c r="E2" s="13">
        <v>74</v>
      </c>
      <c r="F2" s="8">
        <v>-1.9804805517196655E-2</v>
      </c>
      <c r="G2" s="7">
        <v>-1.1980657577514648</v>
      </c>
      <c r="H2" s="7">
        <v>-0.30828028917312622</v>
      </c>
      <c r="I2" s="7">
        <v>-0.38859167695045471</v>
      </c>
      <c r="J2" s="7">
        <v>-0.69898992776870728</v>
      </c>
      <c r="K2" s="8">
        <v>-0.63050919771194458</v>
      </c>
    </row>
    <row r="3" spans="1:11" x14ac:dyDescent="0.25">
      <c r="A3" s="61" t="s">
        <v>47</v>
      </c>
      <c r="B3" s="5">
        <v>2008</v>
      </c>
      <c r="C3" s="65">
        <v>14.695250105086172</v>
      </c>
      <c r="D3" s="65">
        <v>0.61051468678108634</v>
      </c>
      <c r="E3" s="13">
        <v>920</v>
      </c>
      <c r="F3" s="8">
        <v>-1.1261515319347382E-2</v>
      </c>
      <c r="G3" s="7">
        <v>-1.0567915439605713</v>
      </c>
      <c r="H3" s="7">
        <v>-0.2635863721370697</v>
      </c>
      <c r="I3" s="7">
        <v>-0.34698894619941711</v>
      </c>
      <c r="J3" s="7">
        <v>-0.6737825870513916</v>
      </c>
      <c r="K3" s="8">
        <v>-0.63908606767654419</v>
      </c>
    </row>
    <row r="4" spans="1:11" x14ac:dyDescent="0.25">
      <c r="A4" s="61" t="s">
        <v>47</v>
      </c>
      <c r="B4" s="5">
        <v>2009</v>
      </c>
      <c r="C4" s="65">
        <v>13.497925311203321</v>
      </c>
      <c r="D4" s="65">
        <v>0.65778551719553147</v>
      </c>
      <c r="E4" s="13">
        <v>1200</v>
      </c>
      <c r="F4" s="8">
        <v>-9.9799945019185543E-4</v>
      </c>
      <c r="G4" s="7">
        <v>-0.75115364789962769</v>
      </c>
      <c r="H4" s="7">
        <v>-0.33120155334472656</v>
      </c>
      <c r="I4" s="7">
        <v>-0.31469470262527466</v>
      </c>
      <c r="J4" s="7">
        <v>-0.6119353175163269</v>
      </c>
      <c r="K4" s="8">
        <v>-0.88964062929153442</v>
      </c>
    </row>
    <row r="5" spans="1:11" x14ac:dyDescent="0.25">
      <c r="A5" s="61" t="s">
        <v>47</v>
      </c>
      <c r="B5" s="5">
        <v>2010</v>
      </c>
      <c r="C5" s="65">
        <v>12.71311475409836</v>
      </c>
      <c r="D5" s="65">
        <v>0.66805923486119823</v>
      </c>
      <c r="E5" s="13">
        <v>1500</v>
      </c>
      <c r="F5" s="8">
        <v>-3.7748463451862335E-2</v>
      </c>
      <c r="G5" s="7">
        <v>-0.85391616821289063</v>
      </c>
      <c r="H5" s="7">
        <v>-0.26738402247428894</v>
      </c>
      <c r="I5" s="7">
        <v>-0.3808605968952179</v>
      </c>
      <c r="J5" s="7">
        <v>-0.65604490041732788</v>
      </c>
      <c r="K5" s="8">
        <v>-0.80353450775146484</v>
      </c>
    </row>
    <row r="6" spans="1:11" x14ac:dyDescent="0.25">
      <c r="A6" s="61" t="s">
        <v>47</v>
      </c>
      <c r="B6" s="5">
        <v>2011</v>
      </c>
      <c r="C6" s="65">
        <v>11.554026709834076</v>
      </c>
      <c r="D6" s="65">
        <v>0.72239290208329221</v>
      </c>
      <c r="E6" s="13">
        <v>1729</v>
      </c>
      <c r="F6" s="8">
        <v>-8.5310135036706924E-3</v>
      </c>
      <c r="G6" s="7">
        <v>-0.77011418342590332</v>
      </c>
      <c r="H6" s="7">
        <v>-0.32276153564453125</v>
      </c>
      <c r="I6" s="7">
        <v>-0.31018862128257751</v>
      </c>
      <c r="J6" s="7">
        <v>-0.59964394569396973</v>
      </c>
      <c r="K6" s="8">
        <v>-0.75587069988250732</v>
      </c>
    </row>
    <row r="7" spans="1:11" x14ac:dyDescent="0.25">
      <c r="A7" s="61" t="s">
        <v>47</v>
      </c>
      <c r="B7" s="5">
        <v>2012</v>
      </c>
      <c r="C7" s="65">
        <v>11.44</v>
      </c>
      <c r="D7" s="65">
        <v>0.70967485114424744</v>
      </c>
      <c r="E7" s="13">
        <v>2212</v>
      </c>
      <c r="F7" s="8">
        <v>6.7612648010253906E-2</v>
      </c>
      <c r="G7" s="7">
        <v>-0.59326279163360596</v>
      </c>
      <c r="H7" s="7">
        <v>-0.33171436190605164</v>
      </c>
      <c r="I7" s="7">
        <v>-0.22185291349887848</v>
      </c>
      <c r="J7" s="7">
        <v>-0.58356904983520508</v>
      </c>
      <c r="K7" s="8">
        <v>-0.6891058087348938</v>
      </c>
    </row>
    <row r="8" spans="1:11" x14ac:dyDescent="0.25">
      <c r="A8" s="61" t="s">
        <v>47</v>
      </c>
      <c r="B8" s="5">
        <v>2013</v>
      </c>
      <c r="C8" s="65">
        <v>11.271219897354914</v>
      </c>
      <c r="D8" s="65">
        <v>0.72201390693496048</v>
      </c>
      <c r="E8" s="13">
        <v>2399.090909090909</v>
      </c>
      <c r="F8" s="8">
        <v>3.6121301352977753E-2</v>
      </c>
      <c r="G8" s="7">
        <v>-0.51926463842391968</v>
      </c>
      <c r="H8" s="7">
        <v>-0.2442580908536911</v>
      </c>
      <c r="I8" s="7">
        <v>-0.12326587736606598</v>
      </c>
      <c r="J8" s="7">
        <v>-0.5331915020942688</v>
      </c>
      <c r="K8" s="8">
        <v>-0.66003966331481934</v>
      </c>
    </row>
    <row r="9" spans="1:11" x14ac:dyDescent="0.25">
      <c r="A9" s="61" t="s">
        <v>47</v>
      </c>
      <c r="B9" s="5">
        <v>2014</v>
      </c>
      <c r="C9" s="65">
        <v>10.819672131147541</v>
      </c>
      <c r="D9" s="65">
        <v>0.67866426757132881</v>
      </c>
      <c r="E9" s="13">
        <v>2750</v>
      </c>
      <c r="F9" s="8">
        <v>0.15392166376113892</v>
      </c>
      <c r="G9" s="7">
        <v>-0.41682404279708862</v>
      </c>
      <c r="H9" s="7">
        <v>-6.4909890294075012E-2</v>
      </c>
      <c r="I9" s="7">
        <v>-8.3587504923343658E-3</v>
      </c>
      <c r="J9" s="7">
        <v>-0.3106178343296051</v>
      </c>
      <c r="K9" s="8">
        <v>-0.59759914875030518</v>
      </c>
    </row>
    <row r="10" spans="1:11" x14ac:dyDescent="0.25">
      <c r="A10" s="61" t="s">
        <v>47</v>
      </c>
      <c r="B10" s="5">
        <v>2015</v>
      </c>
      <c r="C10" s="65">
        <v>11.007333076032419</v>
      </c>
      <c r="D10" s="65">
        <v>0.69098331738100605</v>
      </c>
      <c r="E10" s="13">
        <v>3650</v>
      </c>
      <c r="F10" s="8">
        <v>0.18487124145030975</v>
      </c>
      <c r="G10" s="7">
        <v>-0.61506068706512451</v>
      </c>
      <c r="H10" s="7">
        <v>-0.29632812738418579</v>
      </c>
      <c r="I10" s="7">
        <v>-0.14108996093273163</v>
      </c>
      <c r="J10" s="7">
        <v>-0.40508553385734558</v>
      </c>
      <c r="K10" s="8">
        <v>-0.49511358141899109</v>
      </c>
    </row>
    <row r="11" spans="1:11" x14ac:dyDescent="0.25">
      <c r="A11" s="61" t="s">
        <v>47</v>
      </c>
      <c r="B11" s="5">
        <v>2016</v>
      </c>
      <c r="C11" s="65">
        <v>10.603283696067201</v>
      </c>
      <c r="D11" s="65">
        <v>0.67955354845079197</v>
      </c>
      <c r="E11" s="13">
        <v>3859.4538461538464</v>
      </c>
      <c r="F11" s="8">
        <v>0.16796885430812836</v>
      </c>
      <c r="G11" s="7">
        <v>-0.37295243144035339</v>
      </c>
      <c r="H11" s="7">
        <v>-1.59781314432621E-2</v>
      </c>
      <c r="I11" s="7">
        <v>-2.16069296002388E-2</v>
      </c>
      <c r="J11" s="7">
        <v>-0.32117339968681335</v>
      </c>
      <c r="K11" s="8">
        <v>-0.4398956298828125</v>
      </c>
    </row>
    <row r="12" spans="1:11" x14ac:dyDescent="0.25">
      <c r="A12" s="61" t="s">
        <v>47</v>
      </c>
      <c r="B12" s="5">
        <v>2017</v>
      </c>
      <c r="C12" s="65">
        <v>10.052930056710775</v>
      </c>
      <c r="D12" s="65">
        <v>0.65193483687754294</v>
      </c>
      <c r="E12" s="13">
        <v>4787.9769230769234</v>
      </c>
      <c r="F12" s="8">
        <v>0.13162344694137573</v>
      </c>
      <c r="G12" s="7">
        <v>-0.49790340662002563</v>
      </c>
      <c r="H12" s="7">
        <v>1.4091856777667999E-2</v>
      </c>
      <c r="I12" s="7">
        <v>4.1742000728845596E-2</v>
      </c>
      <c r="J12" s="7">
        <v>-0.33198875188827515</v>
      </c>
      <c r="K12" s="8">
        <v>-0.28053587675094604</v>
      </c>
    </row>
    <row r="13" spans="1:11" x14ac:dyDescent="0.25">
      <c r="A13" s="61" t="s">
        <v>47</v>
      </c>
      <c r="B13" s="5">
        <v>2018</v>
      </c>
      <c r="C13" s="65">
        <v>9.6143766379633089</v>
      </c>
      <c r="D13" s="65">
        <v>0.64173081974575419</v>
      </c>
      <c r="E13" s="13">
        <v>6244.3076923076924</v>
      </c>
      <c r="F13" s="8">
        <v>0.15434753894805908</v>
      </c>
      <c r="G13" s="7">
        <v>-0.54590809345245361</v>
      </c>
      <c r="H13" s="7">
        <v>0.17690479755401611</v>
      </c>
      <c r="I13" s="7">
        <v>-9.8074860870838165E-3</v>
      </c>
      <c r="J13" s="7">
        <v>-0.29469206929206848</v>
      </c>
      <c r="K13" s="8">
        <v>-0.27632966637611389</v>
      </c>
    </row>
    <row r="14" spans="1:11" x14ac:dyDescent="0.25">
      <c r="A14" s="61" t="s">
        <v>47</v>
      </c>
      <c r="B14" s="5">
        <v>2019</v>
      </c>
      <c r="C14" s="65">
        <v>9.1951038575667656</v>
      </c>
      <c r="D14" s="65">
        <v>0.46460593649583737</v>
      </c>
      <c r="E14" s="13">
        <v>7867.6461538461544</v>
      </c>
      <c r="F14" s="8">
        <v>0.13211014866828918</v>
      </c>
      <c r="G14" s="7">
        <v>-0.4934045672416687</v>
      </c>
      <c r="H14" s="7">
        <v>0.17359352111816406</v>
      </c>
      <c r="I14" s="7">
        <v>4.104074090719223E-2</v>
      </c>
      <c r="J14" s="7">
        <v>-0.32302859425544739</v>
      </c>
      <c r="K14" s="8">
        <v>-0.45207199454307556</v>
      </c>
    </row>
    <row r="15" spans="1:11" x14ac:dyDescent="0.25">
      <c r="A15" s="61" t="s">
        <v>47</v>
      </c>
      <c r="B15" s="5">
        <v>2020</v>
      </c>
      <c r="C15" s="65">
        <v>10.132401618242001</v>
      </c>
      <c r="D15" s="65">
        <v>0.28653379535562312</v>
      </c>
      <c r="E15" s="13">
        <v>8878.0357142857156</v>
      </c>
      <c r="F15" s="8">
        <v>0.10111519694328308</v>
      </c>
      <c r="G15" s="7">
        <v>-0.4487440288066864</v>
      </c>
      <c r="H15" s="7">
        <v>0.35016745328903198</v>
      </c>
      <c r="I15" s="7">
        <v>0.22881618142127991</v>
      </c>
      <c r="J15" s="7">
        <v>-0.32754018902778625</v>
      </c>
      <c r="K15" s="8">
        <v>-0.43246930837631226</v>
      </c>
    </row>
    <row r="16" spans="1:11" x14ac:dyDescent="0.25">
      <c r="A16" s="61" t="s">
        <v>47</v>
      </c>
      <c r="B16" s="5">
        <v>2021</v>
      </c>
      <c r="C16" s="65">
        <v>9.6785975164353548</v>
      </c>
      <c r="D16" s="65">
        <v>0.2691116647542578</v>
      </c>
      <c r="E16" s="13">
        <v>10713.024285714286</v>
      </c>
      <c r="F16" s="8">
        <v>0.15521752834320068</v>
      </c>
      <c r="G16" s="7">
        <v>-0.50647294521331787</v>
      </c>
      <c r="H16" s="7">
        <v>0.37900727987289429</v>
      </c>
      <c r="I16" s="7">
        <v>0.29816204309463501</v>
      </c>
      <c r="J16" s="7">
        <v>-0.22478073835372925</v>
      </c>
      <c r="K16" s="8">
        <v>-0.42790558934211731</v>
      </c>
    </row>
    <row r="17" spans="1:11" x14ac:dyDescent="0.25">
      <c r="A17" s="61" t="s">
        <v>10</v>
      </c>
      <c r="B17" s="5">
        <v>2007</v>
      </c>
      <c r="C17" s="61">
        <v>25.31</v>
      </c>
      <c r="D17" s="29">
        <v>0.39346405228758174</v>
      </c>
      <c r="E17" s="13">
        <v>52.290419161676645</v>
      </c>
      <c r="F17" s="7">
        <v>-0.523537278175354</v>
      </c>
      <c r="G17" s="7">
        <v>0.19330716133117676</v>
      </c>
      <c r="H17" s="7">
        <v>1.2424353361129761</v>
      </c>
      <c r="I17" s="7">
        <v>0.50432491302490201</v>
      </c>
      <c r="J17" s="7">
        <v>0.36687648296356201</v>
      </c>
      <c r="K17" s="7">
        <v>0.16680128872394562</v>
      </c>
    </row>
    <row r="18" spans="1:11" x14ac:dyDescent="0.25">
      <c r="A18" s="61" t="s">
        <v>10</v>
      </c>
      <c r="B18" s="5">
        <v>2008</v>
      </c>
      <c r="C18" s="61">
        <v>22.1</v>
      </c>
      <c r="D18" s="29">
        <v>0.44421823844169772</v>
      </c>
      <c r="E18" s="13">
        <v>59.242514970059879</v>
      </c>
      <c r="F18" s="7">
        <v>-0.56319290399551392</v>
      </c>
      <c r="G18" s="7">
        <v>0.10854236781597137</v>
      </c>
      <c r="H18" s="7">
        <v>1.0687037706375122</v>
      </c>
      <c r="I18" s="7">
        <v>0.28681203722953796</v>
      </c>
      <c r="J18" s="7">
        <v>0.24728386104106903</v>
      </c>
      <c r="K18" s="7">
        <v>-9.0506412088871002E-2</v>
      </c>
    </row>
    <row r="19" spans="1:11" x14ac:dyDescent="0.25">
      <c r="A19" s="61" t="s">
        <v>10</v>
      </c>
      <c r="B19" s="5">
        <v>2009</v>
      </c>
      <c r="C19" s="61">
        <v>19.3</v>
      </c>
      <c r="D19" s="29">
        <v>0.45615636306540258</v>
      </c>
      <c r="E19" s="13">
        <v>83.281437125748496</v>
      </c>
      <c r="F19" s="7">
        <v>-0.50389474630355835</v>
      </c>
      <c r="G19" s="7">
        <v>-4.1660919785499573E-2</v>
      </c>
      <c r="H19" s="7">
        <v>0.90877854824066162</v>
      </c>
      <c r="I19" s="7">
        <v>0.26975882053375244</v>
      </c>
      <c r="J19" s="7">
        <v>0.37388545274734497</v>
      </c>
      <c r="K19" s="7">
        <v>-9.3942709267139435E-2</v>
      </c>
    </row>
    <row r="20" spans="1:11" x14ac:dyDescent="0.25">
      <c r="A20" s="61" t="s">
        <v>10</v>
      </c>
      <c r="B20" s="5">
        <v>2010</v>
      </c>
      <c r="C20" s="61">
        <v>12.47</v>
      </c>
      <c r="D20" s="29">
        <v>0.48212918846505798</v>
      </c>
      <c r="E20" s="13">
        <v>122.83233532934132</v>
      </c>
      <c r="F20" s="7">
        <v>-0.49994820356369019</v>
      </c>
      <c r="G20" s="7">
        <v>0.14335213601589203</v>
      </c>
      <c r="H20" s="7">
        <v>1.0623400211334229</v>
      </c>
      <c r="I20" s="7">
        <v>0.61124998331069946</v>
      </c>
      <c r="J20" s="7">
        <v>0.39389044046401978</v>
      </c>
      <c r="K20" s="7">
        <v>5.7084448635578156E-2</v>
      </c>
    </row>
    <row r="21" spans="1:11" x14ac:dyDescent="0.25">
      <c r="A21" s="61" t="s">
        <v>10</v>
      </c>
      <c r="B21" s="5">
        <v>2011</v>
      </c>
      <c r="C21" s="61">
        <v>12.9</v>
      </c>
      <c r="D21" s="29">
        <v>0.53673505874463223</v>
      </c>
      <c r="E21" s="13">
        <v>141.78443113772454</v>
      </c>
      <c r="F21" s="7">
        <v>-0.47487491369247437</v>
      </c>
      <c r="G21" s="7">
        <v>7.7409766614437103E-2</v>
      </c>
      <c r="H21" s="7">
        <v>1.0022176504135132</v>
      </c>
      <c r="I21" s="7">
        <v>0.54713457822799683</v>
      </c>
      <c r="J21" s="7">
        <v>0.40263152122497559</v>
      </c>
      <c r="K21" s="7">
        <v>2.257157489657402E-2</v>
      </c>
    </row>
    <row r="22" spans="1:11" x14ac:dyDescent="0.25">
      <c r="A22" s="61" t="s">
        <v>10</v>
      </c>
      <c r="B22" s="5">
        <v>2012</v>
      </c>
      <c r="C22" s="61">
        <v>7.38</v>
      </c>
      <c r="D22" s="29">
        <v>0.62598651680022099</v>
      </c>
      <c r="E22" s="13">
        <v>120.1556886227545</v>
      </c>
      <c r="F22" s="7">
        <v>-0.3465391993522644</v>
      </c>
      <c r="G22" s="7">
        <v>-5.2124024368822575E-3</v>
      </c>
      <c r="H22" s="7">
        <v>0.9193732738494873</v>
      </c>
      <c r="I22" s="7">
        <v>0.47716996073722839</v>
      </c>
      <c r="J22" s="7">
        <v>0.37976944446563721</v>
      </c>
      <c r="K22" s="7">
        <v>0.21331295371055603</v>
      </c>
    </row>
    <row r="23" spans="1:11" x14ac:dyDescent="0.25">
      <c r="A23" s="61" t="s">
        <v>10</v>
      </c>
      <c r="B23" s="5">
        <v>2013</v>
      </c>
      <c r="C23" s="61">
        <v>6.6</v>
      </c>
      <c r="D23" s="29">
        <v>0.70477796006567861</v>
      </c>
      <c r="E23" s="13">
        <v>144.74251497005986</v>
      </c>
      <c r="F23" s="7">
        <v>-0.33967924118041992</v>
      </c>
      <c r="G23" s="7">
        <v>5.1791593432426453E-2</v>
      </c>
      <c r="H23" s="7">
        <v>1.0071662664413452</v>
      </c>
      <c r="I23" s="7">
        <v>0.56780821084976196</v>
      </c>
      <c r="J23" s="7">
        <v>0.34140294790267944</v>
      </c>
      <c r="K23" s="7">
        <v>0.33329123258590698</v>
      </c>
    </row>
    <row r="24" spans="1:11" x14ac:dyDescent="0.25">
      <c r="A24" s="61" t="s">
        <v>10</v>
      </c>
      <c r="B24" s="5">
        <v>2014</v>
      </c>
      <c r="C24" s="61">
        <v>5.9</v>
      </c>
      <c r="D24" s="29">
        <v>0.69252443199643876</v>
      </c>
      <c r="E24" s="13">
        <v>161.25149700598803</v>
      </c>
      <c r="F24" s="7">
        <v>-0.36029103398323059</v>
      </c>
      <c r="G24" s="7">
        <v>0.26661914587020874</v>
      </c>
      <c r="H24" s="7">
        <v>1.1608197689056396</v>
      </c>
      <c r="I24" s="7">
        <v>0.79923129081726074</v>
      </c>
      <c r="J24" s="7">
        <v>0.52419072389602661</v>
      </c>
      <c r="K24" s="7">
        <v>0.39668908715248108</v>
      </c>
    </row>
    <row r="25" spans="1:11" x14ac:dyDescent="0.25">
      <c r="A25" s="61" t="s">
        <v>10</v>
      </c>
      <c r="B25" s="5">
        <v>2015</v>
      </c>
      <c r="C25" s="61">
        <v>4.8</v>
      </c>
      <c r="D25" s="29">
        <v>0.68493043194374348</v>
      </c>
      <c r="E25" s="13">
        <v>169.50299401197606</v>
      </c>
      <c r="F25" s="7">
        <v>-0.39146658778190613</v>
      </c>
      <c r="G25" s="7">
        <v>0.25895756483078003</v>
      </c>
      <c r="H25" s="7">
        <v>0.95808625221252441</v>
      </c>
      <c r="I25" s="7">
        <v>0.71639120578765869</v>
      </c>
      <c r="J25" s="7">
        <v>0.42457666993141174</v>
      </c>
      <c r="K25" s="7">
        <v>0.21102385222911835</v>
      </c>
    </row>
    <row r="26" spans="1:11" x14ac:dyDescent="0.25">
      <c r="A26" s="61" t="s">
        <v>10</v>
      </c>
      <c r="B26" s="5">
        <v>2016</v>
      </c>
      <c r="C26" s="61">
        <v>4.9000000000000004</v>
      </c>
      <c r="D26" s="29">
        <v>0.7063012499934519</v>
      </c>
      <c r="E26" s="13">
        <v>176.44011976047906</v>
      </c>
      <c r="F26" s="7">
        <v>-0.41695103049278259</v>
      </c>
      <c r="G26" s="7">
        <v>0.13682462275028229</v>
      </c>
      <c r="H26" s="7">
        <v>0.86415368318557739</v>
      </c>
      <c r="I26" s="7">
        <v>0.67238694429397583</v>
      </c>
      <c r="J26" s="7">
        <v>0.40889036655426025</v>
      </c>
      <c r="K26" s="7">
        <v>5.5027909576892853E-2</v>
      </c>
    </row>
    <row r="27" spans="1:11" x14ac:dyDescent="0.25">
      <c r="A27" s="61" t="s">
        <v>10</v>
      </c>
      <c r="B27" s="5">
        <v>2017</v>
      </c>
      <c r="C27" s="61">
        <v>4.0999999999999996</v>
      </c>
      <c r="D27" s="29">
        <v>0.67162969725202482</v>
      </c>
      <c r="E27" s="13">
        <v>186.80838323353294</v>
      </c>
      <c r="F27" s="7">
        <v>-0.39886784553527832</v>
      </c>
      <c r="G27" s="7">
        <v>0.11641034483909607</v>
      </c>
      <c r="H27" s="7">
        <v>0.82415443658828735</v>
      </c>
      <c r="I27" s="7">
        <v>0.68155175447463989</v>
      </c>
      <c r="J27" s="7">
        <v>0.41009384393692017</v>
      </c>
      <c r="K27" s="7">
        <v>2.1052002906799316E-2</v>
      </c>
    </row>
    <row r="28" spans="1:11" x14ac:dyDescent="0.25">
      <c r="A28" s="61" t="s">
        <v>10</v>
      </c>
      <c r="B28" s="5">
        <v>2018</v>
      </c>
      <c r="C28" s="61">
        <v>3.4</v>
      </c>
      <c r="D28" s="29">
        <v>0.70172813970255765</v>
      </c>
      <c r="E28" s="13">
        <v>197.70658682634732</v>
      </c>
      <c r="F28" s="7">
        <v>-0.10720095038414001</v>
      </c>
      <c r="G28" s="7">
        <v>0.25156876444816589</v>
      </c>
      <c r="H28" s="7">
        <v>1.1014604568481445</v>
      </c>
      <c r="I28" s="7">
        <v>0.58460265398025513</v>
      </c>
      <c r="J28" s="7">
        <v>0.55336350202560425</v>
      </c>
      <c r="K28" s="7">
        <v>0.3270220160484314</v>
      </c>
    </row>
    <row r="29" spans="1:11" x14ac:dyDescent="0.25">
      <c r="A29" s="61" t="s">
        <v>10</v>
      </c>
      <c r="B29" s="5">
        <v>2019</v>
      </c>
      <c r="C29" s="61">
        <v>3.4</v>
      </c>
      <c r="D29" s="29">
        <v>0.64495342840300007</v>
      </c>
      <c r="E29" s="13">
        <v>206.11077844311379</v>
      </c>
      <c r="F29" s="7">
        <v>-4.8995554447174072E-2</v>
      </c>
      <c r="G29" s="7">
        <v>0.1438768059015274</v>
      </c>
      <c r="H29" s="7">
        <v>1.0091394186019897</v>
      </c>
      <c r="I29" s="7">
        <v>0.55734145641326904</v>
      </c>
      <c r="J29" s="7">
        <v>0.51553827524185181</v>
      </c>
      <c r="K29" s="7">
        <v>0.2593061625957489</v>
      </c>
    </row>
    <row r="30" spans="1:11" x14ac:dyDescent="0.25">
      <c r="A30" s="61" t="s">
        <v>10</v>
      </c>
      <c r="B30" s="5">
        <v>2020</v>
      </c>
      <c r="C30" s="61">
        <v>8.4</v>
      </c>
      <c r="D30" s="29">
        <v>0.54507928514706772</v>
      </c>
      <c r="E30" s="13">
        <v>226.96407185628746</v>
      </c>
      <c r="F30" s="7">
        <v>-0.14983098208904266</v>
      </c>
      <c r="G30" s="7">
        <v>0.11392415314912796</v>
      </c>
      <c r="H30" s="7">
        <v>1.05908203125</v>
      </c>
      <c r="I30" s="7">
        <v>0.67840307950973511</v>
      </c>
      <c r="J30" s="7">
        <v>0.59411460161209106</v>
      </c>
      <c r="K30" s="7">
        <v>0.25365361571311951</v>
      </c>
    </row>
    <row r="31" spans="1:11" x14ac:dyDescent="0.25">
      <c r="A31" s="61" t="s">
        <v>10</v>
      </c>
      <c r="B31" s="5">
        <v>2021</v>
      </c>
      <c r="C31" s="61">
        <v>6.2</v>
      </c>
      <c r="D31" s="29">
        <v>0.47653969942307245</v>
      </c>
      <c r="E31" s="13">
        <v>246.58083832335328</v>
      </c>
      <c r="F31" s="7">
        <v>-0.15472234785556793</v>
      </c>
      <c r="G31" s="7">
        <v>0.13885347545146942</v>
      </c>
      <c r="H31" s="7">
        <v>0.99168664216995239</v>
      </c>
      <c r="I31" s="7">
        <v>0.72238963842391968</v>
      </c>
      <c r="J31" s="7">
        <v>0.557822585105896</v>
      </c>
      <c r="K31" s="7">
        <v>0.17052732408046722</v>
      </c>
    </row>
    <row r="32" spans="1:11" x14ac:dyDescent="0.25">
      <c r="A32" s="61" t="s">
        <v>48</v>
      </c>
      <c r="B32" s="5">
        <v>2007</v>
      </c>
      <c r="C32" s="61">
        <v>18.899999999999999</v>
      </c>
      <c r="D32" s="65">
        <v>0.25958904109589043</v>
      </c>
      <c r="E32" s="13">
        <v>16.5</v>
      </c>
      <c r="F32" s="7">
        <v>-0.36320966482162476</v>
      </c>
      <c r="G32" s="7">
        <v>1.1742110252380371</v>
      </c>
      <c r="H32" s="7">
        <v>2.3678035736083984</v>
      </c>
      <c r="I32" s="7">
        <v>1.808868408203125</v>
      </c>
      <c r="J32" s="7">
        <v>1.5957239866256714</v>
      </c>
      <c r="K32" s="7">
        <v>2.2312123775482178</v>
      </c>
    </row>
    <row r="33" spans="1:11" x14ac:dyDescent="0.25">
      <c r="A33" s="61" t="s">
        <v>48</v>
      </c>
      <c r="B33" s="5">
        <v>2008</v>
      </c>
      <c r="C33" s="61">
        <v>18.8</v>
      </c>
      <c r="D33" s="65">
        <v>0.3174814615299521</v>
      </c>
      <c r="E33" s="13">
        <v>17.899999999999999</v>
      </c>
      <c r="F33" s="7">
        <v>-0.33483549952507019</v>
      </c>
      <c r="G33" s="7">
        <v>1.34467613697052</v>
      </c>
      <c r="H33" s="7">
        <v>2.4260289669036865</v>
      </c>
      <c r="I33" s="7">
        <v>1.8687384128570557</v>
      </c>
      <c r="J33" s="7">
        <v>1.5948928594589233</v>
      </c>
      <c r="K33" s="7">
        <v>2.2316179275512695</v>
      </c>
    </row>
    <row r="34" spans="1:11" x14ac:dyDescent="0.25">
      <c r="A34" s="61" t="s">
        <v>48</v>
      </c>
      <c r="B34" s="5">
        <v>2009</v>
      </c>
      <c r="C34" s="61">
        <v>18.7</v>
      </c>
      <c r="D34" s="65">
        <v>0.36429175127911817</v>
      </c>
      <c r="E34" s="13">
        <v>20</v>
      </c>
      <c r="F34" s="7">
        <v>-0.23422043025493622</v>
      </c>
      <c r="G34" s="7">
        <v>1.179591178894043</v>
      </c>
      <c r="H34" s="7">
        <v>2.2670116424560547</v>
      </c>
      <c r="I34" s="7">
        <v>1.775740385055542</v>
      </c>
      <c r="J34" s="7">
        <v>1.5588433742523193</v>
      </c>
      <c r="K34" s="7">
        <v>2.2067203521728516</v>
      </c>
    </row>
    <row r="35" spans="1:11" x14ac:dyDescent="0.25">
      <c r="A35" s="61" t="s">
        <v>48</v>
      </c>
      <c r="B35" s="5">
        <v>2010</v>
      </c>
      <c r="C35" s="61">
        <v>18.600000000000001</v>
      </c>
      <c r="D35" s="65">
        <v>0.43899650959134984</v>
      </c>
      <c r="E35" s="13">
        <v>22.8</v>
      </c>
      <c r="F35" s="7">
        <v>-0.20896580815315247</v>
      </c>
      <c r="G35" s="7">
        <v>1.1694148778915405</v>
      </c>
      <c r="H35" s="7">
        <v>2.2357573509216309</v>
      </c>
      <c r="I35" s="7">
        <v>1.7835993766784668</v>
      </c>
      <c r="J35" s="7">
        <v>1.6188476085662842</v>
      </c>
      <c r="K35" s="7">
        <v>2.1713628768920898</v>
      </c>
    </row>
    <row r="36" spans="1:11" x14ac:dyDescent="0.25">
      <c r="A36" s="61" t="s">
        <v>48</v>
      </c>
      <c r="B36" s="5">
        <v>2011</v>
      </c>
      <c r="C36" s="61">
        <v>18.5</v>
      </c>
      <c r="D36" s="65">
        <v>0.46510951918448157</v>
      </c>
      <c r="E36" s="13">
        <v>23.3</v>
      </c>
      <c r="F36" s="7">
        <v>-0.10202718526124954</v>
      </c>
      <c r="G36" s="7">
        <v>1.1914217472076416</v>
      </c>
      <c r="H36" s="7">
        <v>2.1486475467681885</v>
      </c>
      <c r="I36" s="7">
        <v>1.7832305431365967</v>
      </c>
      <c r="J36" s="7">
        <v>1.6607534885406494</v>
      </c>
      <c r="K36" s="7">
        <v>2.1029970645904541</v>
      </c>
    </row>
    <row r="37" spans="1:11" x14ac:dyDescent="0.25">
      <c r="A37" s="61" t="s">
        <v>48</v>
      </c>
      <c r="B37" s="5">
        <v>2012</v>
      </c>
      <c r="C37" s="61">
        <v>18.399999999999999</v>
      </c>
      <c r="D37" s="65">
        <v>0.42913834594812972</v>
      </c>
      <c r="E37" s="13">
        <v>28.79</v>
      </c>
      <c r="F37" s="7">
        <v>5.3091369569301605E-2</v>
      </c>
      <c r="G37" s="7">
        <v>1.3681745529174805</v>
      </c>
      <c r="H37" s="7">
        <v>2.1557638645172119</v>
      </c>
      <c r="I37" s="7">
        <v>1.9579020738601685</v>
      </c>
      <c r="J37" s="7">
        <v>1.7240780591964722</v>
      </c>
      <c r="K37" s="7">
        <v>2.1157081127166748</v>
      </c>
    </row>
    <row r="38" spans="1:11" x14ac:dyDescent="0.25">
      <c r="A38" s="61" t="s">
        <v>48</v>
      </c>
      <c r="B38" s="5">
        <v>2013</v>
      </c>
      <c r="C38" s="61">
        <v>18.3</v>
      </c>
      <c r="D38" s="65">
        <v>0.43931208248587772</v>
      </c>
      <c r="E38" s="13">
        <v>28.4</v>
      </c>
      <c r="F38" s="7">
        <v>3.6768428981304169E-2</v>
      </c>
      <c r="G38" s="7">
        <v>1.3781783580780029</v>
      </c>
      <c r="H38" s="7">
        <v>2.0804102420806885</v>
      </c>
      <c r="I38" s="7">
        <v>1.9601083993911743</v>
      </c>
      <c r="J38" s="7">
        <v>1.6971819400787354</v>
      </c>
      <c r="K38" s="7">
        <v>2.0705025196075439</v>
      </c>
    </row>
    <row r="39" spans="1:11" x14ac:dyDescent="0.25">
      <c r="A39" s="61" t="s">
        <v>48</v>
      </c>
      <c r="B39" s="5">
        <v>2014</v>
      </c>
      <c r="C39" s="61">
        <v>18.600000000000001</v>
      </c>
      <c r="D39" s="65">
        <v>0.49441024029244196</v>
      </c>
      <c r="E39" s="13">
        <v>31.8</v>
      </c>
      <c r="F39" s="7">
        <v>-9.8644964396953583E-2</v>
      </c>
      <c r="G39" s="7">
        <v>1.1862714290618896</v>
      </c>
      <c r="H39" s="7">
        <v>2.1753144264221191</v>
      </c>
      <c r="I39" s="7">
        <v>2.2263600826263428</v>
      </c>
      <c r="J39" s="7">
        <v>1.8206549882888794</v>
      </c>
      <c r="K39" s="7">
        <v>2.0675637722015381</v>
      </c>
    </row>
    <row r="40" spans="1:11" x14ac:dyDescent="0.25">
      <c r="A40" s="61" t="s">
        <v>48</v>
      </c>
      <c r="B40" s="5">
        <v>2015</v>
      </c>
      <c r="C40" s="61">
        <v>17.399999999999999</v>
      </c>
      <c r="D40" s="65">
        <v>0.42089611562785068</v>
      </c>
      <c r="E40" s="13">
        <v>35.299999999999997</v>
      </c>
      <c r="F40" s="7">
        <v>-0.16181027889251709</v>
      </c>
      <c r="G40" s="7">
        <v>1.3117527961730957</v>
      </c>
      <c r="H40" s="7">
        <v>2.2308759689331055</v>
      </c>
      <c r="I40" s="7">
        <v>2.2553470134735107</v>
      </c>
      <c r="J40" s="7">
        <v>1.8070002794265747</v>
      </c>
      <c r="K40" s="7">
        <v>2.0908441543579102</v>
      </c>
    </row>
    <row r="41" spans="1:11" x14ac:dyDescent="0.25">
      <c r="A41" s="61" t="s">
        <v>48</v>
      </c>
      <c r="B41" s="5">
        <v>2016</v>
      </c>
      <c r="C41" s="61">
        <v>18.3</v>
      </c>
      <c r="D41" s="65">
        <v>0.68838836069309828</v>
      </c>
      <c r="E41" s="13">
        <v>38.200000000000003</v>
      </c>
      <c r="F41" s="7">
        <v>-0.15036880970001221</v>
      </c>
      <c r="G41" s="7">
        <v>1.4957586526870728</v>
      </c>
      <c r="H41" s="7">
        <v>2.1976737976074219</v>
      </c>
      <c r="I41" s="7">
        <v>2.1777729988098145</v>
      </c>
      <c r="J41" s="7">
        <v>1.8154541254043579</v>
      </c>
      <c r="K41" s="7">
        <v>2.083024263381958</v>
      </c>
    </row>
    <row r="42" spans="1:11" x14ac:dyDescent="0.25">
      <c r="A42" s="61" t="s">
        <v>48</v>
      </c>
      <c r="B42" s="5">
        <v>2017</v>
      </c>
      <c r="C42" s="61">
        <v>19.100000000000001</v>
      </c>
      <c r="D42" s="65">
        <v>0.65677428799796256</v>
      </c>
      <c r="E42" s="13">
        <v>44.199999999999996</v>
      </c>
      <c r="F42" s="7">
        <v>-0.16903530061244965</v>
      </c>
      <c r="G42" s="7">
        <v>1.6156699657440186</v>
      </c>
      <c r="H42" s="7">
        <v>2.2137622833251953</v>
      </c>
      <c r="I42" s="7">
        <v>2.1130104064941406</v>
      </c>
      <c r="J42" s="7">
        <v>1.8162840604782104</v>
      </c>
      <c r="K42" s="7">
        <v>2.1294841766357422</v>
      </c>
    </row>
    <row r="43" spans="1:11" x14ac:dyDescent="0.25">
      <c r="A43" s="61" t="s">
        <v>48</v>
      </c>
      <c r="B43" s="5">
        <v>2018</v>
      </c>
      <c r="C43" s="61">
        <v>19.3</v>
      </c>
      <c r="D43" s="65">
        <v>0.70746808659126237</v>
      </c>
      <c r="E43" s="13">
        <v>43</v>
      </c>
      <c r="F43" s="7">
        <v>-8.3973310887813568E-2</v>
      </c>
      <c r="G43" s="7">
        <v>1.4879364967346191</v>
      </c>
      <c r="H43" s="7">
        <v>2.2219150066375732</v>
      </c>
      <c r="I43" s="7">
        <v>2.1253600120544434</v>
      </c>
      <c r="J43" s="7">
        <v>1.8353070020675659</v>
      </c>
      <c r="K43" s="7">
        <v>2.1706435680389404</v>
      </c>
    </row>
    <row r="44" spans="1:11" x14ac:dyDescent="0.25">
      <c r="A44" s="61" t="s">
        <v>48</v>
      </c>
      <c r="B44" s="5">
        <v>2019</v>
      </c>
      <c r="C44" s="61">
        <v>20.100000000000001</v>
      </c>
      <c r="D44" s="65">
        <v>0.59238748039130384</v>
      </c>
      <c r="E44" s="13">
        <v>46.5</v>
      </c>
      <c r="F44" s="7">
        <v>-0.20599597692489624</v>
      </c>
      <c r="G44" s="7">
        <v>1.5007864236831665</v>
      </c>
      <c r="H44" s="7">
        <v>2.2127344608306885</v>
      </c>
      <c r="I44" s="7">
        <v>2.1601128578186035</v>
      </c>
      <c r="J44" s="7">
        <v>1.8701682090759277</v>
      </c>
      <c r="K44" s="7">
        <v>2.156531810760498</v>
      </c>
    </row>
    <row r="45" spans="1:11" x14ac:dyDescent="0.25">
      <c r="A45" s="61" t="s">
        <v>48</v>
      </c>
      <c r="B45" s="5">
        <v>2020</v>
      </c>
      <c r="C45" s="61">
        <v>20.399999999999999</v>
      </c>
      <c r="D45" s="65">
        <v>0.64154179929607658</v>
      </c>
      <c r="E45" s="13">
        <v>51.800000000000004</v>
      </c>
      <c r="F45" s="7">
        <v>-0.20380981266498566</v>
      </c>
      <c r="G45" s="7">
        <v>1.4608592987060547</v>
      </c>
      <c r="H45" s="7">
        <v>2.3248598575592041</v>
      </c>
      <c r="I45" s="7">
        <v>2.212867259979248</v>
      </c>
      <c r="J45" s="7">
        <v>1.8702372312545776</v>
      </c>
      <c r="K45" s="7">
        <v>2.1497471332550049</v>
      </c>
    </row>
    <row r="46" spans="1:11" x14ac:dyDescent="0.25">
      <c r="A46" s="61" t="s">
        <v>48</v>
      </c>
      <c r="B46" s="5">
        <v>2021</v>
      </c>
      <c r="C46" s="61">
        <v>18.8</v>
      </c>
      <c r="D46" s="65">
        <v>0.89274193548387104</v>
      </c>
      <c r="E46" s="13">
        <v>59.5</v>
      </c>
      <c r="F46" s="7">
        <v>-0.13606204092502594</v>
      </c>
      <c r="G46" s="7">
        <v>1.4931896924972534</v>
      </c>
      <c r="H46" s="7">
        <v>2.291487455368042</v>
      </c>
      <c r="I46" s="7">
        <v>2.2310440540313721</v>
      </c>
      <c r="J46" s="7">
        <v>1.8577128648757935</v>
      </c>
      <c r="K46" s="7">
        <v>2.1715395450592041</v>
      </c>
    </row>
    <row r="47" spans="1:11" x14ac:dyDescent="0.25">
      <c r="A47" s="61" t="s">
        <v>12</v>
      </c>
      <c r="B47" s="5">
        <v>2007</v>
      </c>
      <c r="C47" s="61">
        <v>7.47</v>
      </c>
      <c r="D47" s="29">
        <v>0.68342355969825352</v>
      </c>
      <c r="E47" s="13">
        <v>3.0535E-2</v>
      </c>
      <c r="F47" s="7">
        <v>-1.0615367889404297</v>
      </c>
      <c r="G47" s="7">
        <v>1.1071069240570068</v>
      </c>
      <c r="H47" s="7">
        <v>0.91774177551269531</v>
      </c>
      <c r="I47" s="7">
        <v>0.98605728149414063</v>
      </c>
      <c r="J47" s="7">
        <v>0.40165552496910095</v>
      </c>
      <c r="K47" s="7">
        <v>0.20935553312301636</v>
      </c>
    </row>
    <row r="48" spans="1:11" x14ac:dyDescent="0.25">
      <c r="A48" s="61" t="s">
        <v>12</v>
      </c>
      <c r="B48" s="5">
        <v>2008</v>
      </c>
      <c r="C48" s="61">
        <v>6.96</v>
      </c>
      <c r="D48" s="29">
        <v>0.47307137343898814</v>
      </c>
      <c r="E48" s="13">
        <v>2E-3</v>
      </c>
      <c r="F48" s="7">
        <v>-1.0181343555450439</v>
      </c>
      <c r="G48" s="7">
        <v>1.1256190538406372</v>
      </c>
      <c r="H48" s="7">
        <v>0.88029199838638306</v>
      </c>
      <c r="I48" s="7">
        <v>0.78394567966461182</v>
      </c>
      <c r="J48" s="7">
        <v>0.45791959762573242</v>
      </c>
      <c r="K48" s="7">
        <v>0.48272225260734558</v>
      </c>
    </row>
    <row r="49" spans="1:16" x14ac:dyDescent="0.25">
      <c r="A49" s="61" t="s">
        <v>12</v>
      </c>
      <c r="B49" s="5">
        <v>2009</v>
      </c>
      <c r="C49" s="61">
        <v>6.48</v>
      </c>
      <c r="D49" s="29">
        <v>0.65848394162890911</v>
      </c>
      <c r="E49" s="13">
        <v>3.7717889999999997E-2</v>
      </c>
      <c r="F49" s="7">
        <v>-0.73071449995040894</v>
      </c>
      <c r="G49" s="7">
        <v>1.3871266841888428</v>
      </c>
      <c r="H49" s="7">
        <v>0.91371166706085205</v>
      </c>
      <c r="I49" s="7">
        <v>1.0849860906600952</v>
      </c>
      <c r="J49" s="7">
        <v>0.78254330158233643</v>
      </c>
      <c r="K49" s="7">
        <v>0.98429179191589355</v>
      </c>
    </row>
    <row r="50" spans="1:16" x14ac:dyDescent="0.25">
      <c r="A50" s="61" t="s">
        <v>12</v>
      </c>
      <c r="B50" s="5">
        <v>2010</v>
      </c>
      <c r="C50" s="61">
        <v>6.04</v>
      </c>
      <c r="D50" s="29">
        <v>0.3931016397470623</v>
      </c>
      <c r="E50" s="13">
        <v>2.4719999999999999E-2</v>
      </c>
      <c r="F50" s="7">
        <v>-0.65057063102722168</v>
      </c>
      <c r="G50" s="7">
        <v>1.2775470018386841</v>
      </c>
      <c r="H50" s="7">
        <v>0.8964809775352478</v>
      </c>
      <c r="I50" s="7">
        <v>1.1081427335739136</v>
      </c>
      <c r="J50" s="7">
        <v>0.77304095029830933</v>
      </c>
      <c r="K50" s="7">
        <v>0.85777854919433594</v>
      </c>
    </row>
    <row r="51" spans="1:16" x14ac:dyDescent="0.25">
      <c r="A51" s="61" t="s">
        <v>12</v>
      </c>
      <c r="B51" s="5">
        <v>2011</v>
      </c>
      <c r="C51" s="61">
        <v>5.64</v>
      </c>
      <c r="D51" s="29">
        <v>0.5531320008664955</v>
      </c>
      <c r="E51" s="13">
        <v>2.004</v>
      </c>
      <c r="F51" s="7">
        <v>-0.61033928394317627</v>
      </c>
      <c r="G51" s="7">
        <v>1.0851937532424927</v>
      </c>
      <c r="H51" s="7">
        <v>0.89118880033493042</v>
      </c>
      <c r="I51" s="7">
        <v>1.1490360498428345</v>
      </c>
      <c r="J51" s="7">
        <v>0.84286779165267944</v>
      </c>
      <c r="K51" s="7">
        <v>0.85447734594345093</v>
      </c>
    </row>
    <row r="52" spans="1:16" x14ac:dyDescent="0.25">
      <c r="A52" s="61" t="s">
        <v>12</v>
      </c>
      <c r="B52" s="5">
        <v>2012</v>
      </c>
      <c r="C52" s="61">
        <v>5.27</v>
      </c>
      <c r="D52" s="29">
        <v>0.93946502609657234</v>
      </c>
      <c r="E52" s="13">
        <v>6.0999999999999999E-2</v>
      </c>
      <c r="F52" s="7">
        <v>-0.5063740611076355</v>
      </c>
      <c r="G52" s="7">
        <v>0.90932720899581909</v>
      </c>
      <c r="H52" s="7">
        <v>0.83737903833389282</v>
      </c>
      <c r="I52" s="7">
        <v>1.1455000638961792</v>
      </c>
      <c r="J52" s="7">
        <v>0.78748959302902222</v>
      </c>
      <c r="K52" s="7">
        <v>0.53863257169723511</v>
      </c>
    </row>
    <row r="53" spans="1:16" x14ac:dyDescent="0.25">
      <c r="A53" s="61" t="s">
        <v>12</v>
      </c>
      <c r="B53" s="5">
        <v>2013</v>
      </c>
      <c r="C53" s="61">
        <v>4.92</v>
      </c>
      <c r="D53" s="29">
        <v>0.66882338809957531</v>
      </c>
      <c r="E53" s="13">
        <v>3.117E-2</v>
      </c>
      <c r="F53" s="7">
        <v>-0.50507259368896484</v>
      </c>
      <c r="G53" s="7">
        <v>1.0740222930908203</v>
      </c>
      <c r="H53" s="7">
        <v>0.86492925882339478</v>
      </c>
      <c r="I53" s="7">
        <v>1.0985782146453857</v>
      </c>
      <c r="J53" s="7">
        <v>0.58922499418258667</v>
      </c>
      <c r="K53" s="7">
        <v>0.63907504081726074</v>
      </c>
    </row>
    <row r="54" spans="1:16" x14ac:dyDescent="0.25">
      <c r="A54" s="61" t="s">
        <v>12</v>
      </c>
      <c r="B54" s="5">
        <v>2014</v>
      </c>
      <c r="C54" s="61">
        <v>4.5999999999999996</v>
      </c>
      <c r="D54" s="29">
        <v>0.63135859476830425</v>
      </c>
      <c r="E54" s="13">
        <v>1.9E-2</v>
      </c>
      <c r="F54" s="7">
        <v>-0.62501543760299683</v>
      </c>
      <c r="G54" s="7">
        <v>1.2615070343017578</v>
      </c>
      <c r="H54" s="7">
        <v>1.0818734169006348</v>
      </c>
      <c r="I54" s="7">
        <v>0.98060435056686401</v>
      </c>
      <c r="J54" s="7">
        <v>0.47205841541290283</v>
      </c>
      <c r="K54" s="7">
        <v>0.52615153789520264</v>
      </c>
    </row>
    <row r="55" spans="1:16" x14ac:dyDescent="0.25">
      <c r="A55" s="61" t="s">
        <v>12</v>
      </c>
      <c r="B55" s="5">
        <v>2015</v>
      </c>
      <c r="C55" s="61">
        <v>4.3</v>
      </c>
      <c r="D55" s="29">
        <v>0.66898607585990599</v>
      </c>
      <c r="E55" s="13">
        <v>3.0380000000000001E-2</v>
      </c>
      <c r="F55" s="7">
        <v>-0.7541394829750061</v>
      </c>
      <c r="G55" s="7">
        <v>1.2426623106002808</v>
      </c>
      <c r="H55" s="7">
        <v>1.056566596031189</v>
      </c>
      <c r="I55" s="7">
        <v>0.84814149141311646</v>
      </c>
      <c r="J55" s="7">
        <v>0.40460166335105896</v>
      </c>
      <c r="K55" s="7">
        <v>0.5685160756111145</v>
      </c>
    </row>
    <row r="56" spans="1:16" x14ac:dyDescent="0.25">
      <c r="A56" s="61" t="s">
        <v>12</v>
      </c>
      <c r="B56" s="5">
        <v>2016</v>
      </c>
      <c r="C56" s="61">
        <v>4.0199999999999996</v>
      </c>
      <c r="D56" s="29">
        <v>0.53461975887411262</v>
      </c>
      <c r="E56" s="13">
        <v>0.93747999999999998</v>
      </c>
      <c r="F56" s="7">
        <v>-0.90096300840377808</v>
      </c>
      <c r="G56" s="7">
        <v>1.1541720628738403</v>
      </c>
      <c r="H56" s="7">
        <v>1.0792016983032227</v>
      </c>
      <c r="I56" s="7">
        <v>0.58965647220611572</v>
      </c>
      <c r="J56" s="7">
        <v>0.5559837818145752</v>
      </c>
      <c r="K56" s="7">
        <v>0.56265318393707275</v>
      </c>
    </row>
    <row r="57" spans="1:16" x14ac:dyDescent="0.25">
      <c r="A57" s="61" t="s">
        <v>12</v>
      </c>
      <c r="B57" s="5">
        <v>2017</v>
      </c>
      <c r="C57" s="61">
        <v>3.77</v>
      </c>
      <c r="D57" s="29">
        <v>0.52539730292969189</v>
      </c>
      <c r="E57" s="13">
        <v>0.94011999999999996</v>
      </c>
      <c r="F57" s="7">
        <v>-0.94865822792053223</v>
      </c>
      <c r="G57" s="7">
        <v>1.160305380821228</v>
      </c>
      <c r="H57" s="7">
        <v>1.140028715133667</v>
      </c>
      <c r="I57" s="7">
        <v>0.71351176500320435</v>
      </c>
      <c r="J57" s="7">
        <v>0.64231544733047485</v>
      </c>
      <c r="K57" s="7">
        <v>0.70813673734664917</v>
      </c>
    </row>
    <row r="58" spans="1:16" x14ac:dyDescent="0.25">
      <c r="A58" s="61" t="s">
        <v>12</v>
      </c>
      <c r="B58" s="5">
        <v>2018</v>
      </c>
      <c r="C58" s="61">
        <v>3.53</v>
      </c>
      <c r="D58" s="29">
        <v>0.46431332236414635</v>
      </c>
      <c r="E58" s="13">
        <v>0.96718999999999999</v>
      </c>
      <c r="F58" s="7">
        <v>-0.86268985271453857</v>
      </c>
      <c r="G58" s="7">
        <v>1.24135971069335</v>
      </c>
      <c r="H58" s="7">
        <v>1.2455985546112061</v>
      </c>
      <c r="I58" s="7">
        <v>0.68485671281814575</v>
      </c>
      <c r="J58" s="7">
        <v>0.62303924560546875</v>
      </c>
      <c r="K58" s="7">
        <v>0.79113179445266724</v>
      </c>
    </row>
    <row r="59" spans="1:16" x14ac:dyDescent="0.25">
      <c r="A59" s="61" t="s">
        <v>12</v>
      </c>
      <c r="B59" s="5">
        <v>2019</v>
      </c>
      <c r="C59" s="61">
        <v>3.31</v>
      </c>
      <c r="D59" s="29">
        <v>0.44499750607038829</v>
      </c>
      <c r="E59" s="13">
        <v>0.98026000000000002</v>
      </c>
      <c r="F59" s="7">
        <v>-0.96785849332809448</v>
      </c>
      <c r="G59" s="7">
        <v>1.1087989807128906</v>
      </c>
      <c r="H59" s="7">
        <v>1.3118091821670532</v>
      </c>
      <c r="I59" s="7">
        <v>0.63257187604904175</v>
      </c>
      <c r="J59" s="7">
        <v>0.60900348424911499</v>
      </c>
      <c r="K59" s="7">
        <v>0.79834866523742676</v>
      </c>
    </row>
    <row r="60" spans="1:16" x14ac:dyDescent="0.25">
      <c r="A60" s="61" t="s">
        <v>12</v>
      </c>
      <c r="B60" s="5">
        <v>2020</v>
      </c>
      <c r="C60" s="61">
        <v>3.17</v>
      </c>
      <c r="D60" s="29">
        <v>0.4477658311425185</v>
      </c>
      <c r="E60" s="13">
        <v>0.97780999999999996</v>
      </c>
      <c r="F60" s="7">
        <v>-0.93080073595046997</v>
      </c>
      <c r="G60" s="7">
        <v>1.1823506355285645</v>
      </c>
      <c r="H60" s="7">
        <v>1.429679274559021</v>
      </c>
      <c r="I60" s="7">
        <v>0.91598993539810181</v>
      </c>
      <c r="J60" s="7">
        <v>0.92495465278625488</v>
      </c>
      <c r="K60" s="7">
        <v>1.2782171964645386</v>
      </c>
    </row>
    <row r="61" spans="1:16" x14ac:dyDescent="0.25">
      <c r="A61" s="61" t="s">
        <v>12</v>
      </c>
      <c r="B61" s="5">
        <v>2021</v>
      </c>
      <c r="C61" s="61">
        <v>3.01</v>
      </c>
      <c r="D61" s="29">
        <v>0.19158505617544924</v>
      </c>
      <c r="E61" s="13">
        <v>17.784379999999999</v>
      </c>
      <c r="F61" s="7">
        <v>-0.84821075201034546</v>
      </c>
      <c r="G61" s="7">
        <v>1.1686439514160156</v>
      </c>
      <c r="H61" s="7">
        <v>1.4548332691192627</v>
      </c>
      <c r="I61" s="7">
        <v>0.99343764781951904</v>
      </c>
      <c r="J61" s="7">
        <v>0.8902057409286499</v>
      </c>
      <c r="K61" s="7">
        <v>1.2464383840560913</v>
      </c>
    </row>
    <row r="63" spans="1:16" x14ac:dyDescent="0.25">
      <c r="B63" s="8">
        <v>-1.9804805517196655E-2</v>
      </c>
      <c r="C63" s="8">
        <v>-1.1261515319347382E-2</v>
      </c>
      <c r="D63" s="8">
        <v>-9.9799945019185543E-4</v>
      </c>
      <c r="E63" s="8">
        <v>-3.7748463451862335E-2</v>
      </c>
      <c r="F63" s="8">
        <v>-8.5310135036706924E-3</v>
      </c>
      <c r="G63" s="8">
        <v>6.7612648010253906E-2</v>
      </c>
      <c r="H63" s="8">
        <v>3.6121301352977753E-2</v>
      </c>
      <c r="I63" s="8">
        <v>0.15392166376113892</v>
      </c>
      <c r="J63" s="8">
        <v>0.18487124145030975</v>
      </c>
      <c r="K63" s="8">
        <v>0.16796885430812836</v>
      </c>
      <c r="L63" s="8">
        <v>0.13162344694137573</v>
      </c>
      <c r="M63" s="8">
        <v>0.15434753894805908</v>
      </c>
      <c r="N63" s="8">
        <v>0.13211014866828918</v>
      </c>
      <c r="O63" s="8">
        <v>0.10111519694328308</v>
      </c>
      <c r="P63" s="8">
        <v>0.15521752834320068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IHDI FIX</vt:lpstr>
      <vt:lpstr>GV FIX</vt:lpstr>
      <vt:lpstr>FI FIX</vt:lpstr>
      <vt:lpstr>PVT FIX</vt:lpstr>
      <vt:lpstr>DATA 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Fadia Utami</cp:lastModifiedBy>
  <dcterms:created xsi:type="dcterms:W3CDTF">2023-07-20T14:00:57Z</dcterms:created>
  <dcterms:modified xsi:type="dcterms:W3CDTF">2023-12-17T20:42:26Z</dcterms:modified>
</cp:coreProperties>
</file>